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furst SG\Desktop\"/>
    </mc:Choice>
  </mc:AlternateContent>
  <xr:revisionPtr revIDLastSave="0" documentId="13_ncr:1_{59136E1E-40F3-4E2C-97CF-768EF9B5EC3C}" xr6:coauthVersionLast="45" xr6:coauthVersionMax="45" xr10:uidLastSave="{00000000-0000-0000-0000-000000000000}"/>
  <bookViews>
    <workbookView xWindow="3600" yWindow="1845" windowWidth="21600" windowHeight="12420" xr2:uid="{00000000-000D-0000-FFFF-FFFF00000000}"/>
  </bookViews>
  <sheets>
    <sheet name="MainSheet V3.4" sheetId="1" r:id="rId1"/>
    <sheet name="Iteration" sheetId="4" r:id="rId2"/>
    <sheet name="Ballistics" sheetId="5" r:id="rId3"/>
    <sheet name="Picture" sheetId="2" r:id="rId4"/>
  </sheets>
  <definedNames>
    <definedName name="_xlnm._FilterDatabase" localSheetId="0" hidden="1">Ballistics!$C$12:$C$14</definedName>
  </definedNames>
  <calcPr calcId="191029"/>
</workbook>
</file>

<file path=xl/calcChain.xml><?xml version="1.0" encoding="utf-8"?>
<calcChain xmlns="http://schemas.openxmlformats.org/spreadsheetml/2006/main">
  <c r="I24" i="4" l="1"/>
  <c r="F25" i="4"/>
  <c r="C80" i="4" s="1"/>
  <c r="C10" i="4"/>
  <c r="J20" i="1" s="1"/>
  <c r="C7" i="4"/>
  <c r="C16" i="4" s="1"/>
  <c r="C20" i="4"/>
  <c r="C15" i="4"/>
  <c r="C14" i="4" s="1"/>
  <c r="F27" i="4"/>
  <c r="I29" i="4"/>
  <c r="I28" i="4"/>
  <c r="C35" i="4"/>
  <c r="C36" i="4"/>
  <c r="F55" i="4"/>
  <c r="F81" i="4"/>
  <c r="F107" i="4"/>
  <c r="F133" i="4"/>
  <c r="A24" i="2"/>
  <c r="A25" i="2" s="1"/>
  <c r="D15" i="1"/>
  <c r="C6" i="4" s="1"/>
  <c r="C19" i="4" s="1"/>
  <c r="E38" i="5"/>
  <c r="F31" i="4"/>
  <c r="E37" i="5"/>
  <c r="B25" i="2"/>
  <c r="D19" i="2" s="1"/>
  <c r="D22" i="2" s="1"/>
  <c r="B24" i="2"/>
  <c r="B42" i="2" s="1"/>
  <c r="D20" i="2"/>
  <c r="D21" i="2" s="1"/>
  <c r="A20" i="2"/>
  <c r="A21" i="2" s="1"/>
  <c r="D57" i="2"/>
  <c r="D58" i="2" s="1"/>
  <c r="D59" i="2" s="1"/>
  <c r="D60" i="2" s="1"/>
  <c r="A57" i="2"/>
  <c r="A60" i="2" s="1"/>
  <c r="A31" i="2"/>
  <c r="A32" i="2" s="1"/>
  <c r="A35" i="2" s="1"/>
  <c r="A56" i="2"/>
  <c r="A64" i="2" s="1"/>
  <c r="A67" i="2" s="1"/>
  <c r="L29" i="4"/>
  <c r="L30" i="4"/>
  <c r="E88" i="2"/>
  <c r="E89" i="2" s="1"/>
  <c r="E105" i="2" s="1"/>
  <c r="E104" i="2"/>
  <c r="D32" i="5"/>
  <c r="C35" i="5" s="1"/>
  <c r="E41" i="5"/>
  <c r="D35" i="5" s="1"/>
  <c r="D31" i="5"/>
  <c r="E42" i="5"/>
  <c r="E35" i="5" s="1"/>
  <c r="I26" i="4"/>
  <c r="I27" i="4" s="1"/>
  <c r="I25" i="4"/>
  <c r="E82" i="2" s="1"/>
  <c r="E98" i="2" s="1"/>
  <c r="E76" i="2"/>
  <c r="E77" i="2"/>
  <c r="E93" i="2" s="1"/>
  <c r="E80" i="2"/>
  <c r="E96" i="2" s="1"/>
  <c r="E81" i="2"/>
  <c r="E97" i="2"/>
  <c r="E83" i="2"/>
  <c r="E86" i="2"/>
  <c r="E102" i="2" s="1"/>
  <c r="E75" i="2"/>
  <c r="E91" i="2" s="1"/>
  <c r="C50" i="2"/>
  <c r="C51" i="2" s="1"/>
  <c r="C52" i="2" s="1"/>
  <c r="C53" i="2" s="1"/>
  <c r="B26" i="2"/>
  <c r="C47" i="2" s="1"/>
  <c r="B28" i="2"/>
  <c r="B39" i="2" s="1"/>
  <c r="B30" i="2"/>
  <c r="B31" i="2" s="1"/>
  <c r="A33" i="2"/>
  <c r="A70" i="2" s="1"/>
  <c r="A73" i="2" s="1"/>
  <c r="A34" i="2"/>
  <c r="E92" i="2"/>
  <c r="A19" i="2"/>
  <c r="A22" i="2"/>
  <c r="B29" i="2"/>
  <c r="B38" i="2"/>
  <c r="E99" i="2"/>
  <c r="E84" i="2"/>
  <c r="E100" i="2" s="1"/>
  <c r="C106" i="4" l="1"/>
  <c r="F105" i="4"/>
  <c r="F106" i="4" s="1"/>
  <c r="F131" i="4"/>
  <c r="F132" i="4" s="1"/>
  <c r="F26" i="4"/>
  <c r="C53" i="4" s="1"/>
  <c r="C26" i="4"/>
  <c r="F79" i="4"/>
  <c r="F80" i="4" s="1"/>
  <c r="F53" i="4"/>
  <c r="F54" i="4" s="1"/>
  <c r="C132" i="4"/>
  <c r="E40" i="5"/>
  <c r="D17" i="1" s="1"/>
  <c r="A61" i="2"/>
  <c r="C54" i="2"/>
  <c r="A42" i="2"/>
  <c r="A26" i="2"/>
  <c r="A41" i="2" s="1"/>
  <c r="A48" i="2" s="1"/>
  <c r="C17" i="4"/>
  <c r="E79" i="2"/>
  <c r="E95" i="2" s="1"/>
  <c r="L24" i="4"/>
  <c r="L25" i="4" s="1"/>
  <c r="D56" i="2"/>
  <c r="B36" i="2"/>
  <c r="B32" i="2"/>
  <c r="A44" i="2"/>
  <c r="A45" i="2"/>
  <c r="A36" i="2"/>
  <c r="C131" i="4"/>
  <c r="C13" i="4"/>
  <c r="C18" i="4" s="1"/>
  <c r="C28" i="4" s="1"/>
  <c r="B41" i="2"/>
  <c r="C48" i="2" s="1"/>
  <c r="B37" i="2"/>
  <c r="A47" i="2"/>
  <c r="C79" i="4"/>
  <c r="F24" i="4"/>
  <c r="C24" i="4" s="1"/>
  <c r="C54" i="4"/>
  <c r="B27" i="2"/>
  <c r="B40" i="2" s="1"/>
  <c r="C25" i="4" l="1"/>
  <c r="C105" i="4"/>
  <c r="C21" i="4"/>
  <c r="B33" i="2"/>
  <c r="B35" i="2"/>
  <c r="C45" i="2" s="1"/>
  <c r="C44" i="2"/>
  <c r="L26" i="4"/>
  <c r="L27" i="4"/>
  <c r="L28" i="4" s="1"/>
  <c r="E87" i="2" s="1"/>
  <c r="E103" i="2" s="1"/>
  <c r="D63" i="2"/>
  <c r="D64" i="2"/>
  <c r="D61" i="2"/>
  <c r="D66" i="2" s="1"/>
  <c r="D67" i="2" s="1"/>
  <c r="E78" i="2" l="1"/>
  <c r="E94" i="2" s="1"/>
  <c r="C55" i="4"/>
  <c r="C107" i="4"/>
  <c r="C81" i="4"/>
  <c r="C27" i="4"/>
  <c r="C29" i="4" s="1"/>
  <c r="C31" i="4" s="1"/>
  <c r="C32" i="4" s="1"/>
  <c r="C133" i="4"/>
  <c r="D69" i="2"/>
  <c r="D70" i="2" s="1"/>
  <c r="B34" i="2"/>
  <c r="D72" i="2" s="1"/>
  <c r="D73" i="2" s="1"/>
  <c r="G35" i="4" l="1"/>
  <c r="F35" i="4"/>
  <c r="C34" i="4"/>
  <c r="C33" i="4" l="1"/>
  <c r="C40" i="4" l="1"/>
  <c r="C41" i="4"/>
  <c r="C45" i="4" s="1"/>
  <c r="C46" i="4" l="1"/>
  <c r="C44" i="4"/>
  <c r="C47" i="4" s="1"/>
  <c r="C56" i="4" s="1"/>
  <c r="C48" i="4"/>
  <c r="F52" i="4"/>
  <c r="C52" i="4" s="1"/>
  <c r="C57" i="4" l="1"/>
  <c r="C49" i="4"/>
  <c r="C59" i="4" l="1"/>
  <c r="C60" i="4" s="1"/>
  <c r="C62" i="4" l="1"/>
  <c r="G62" i="4"/>
  <c r="F62" i="4"/>
  <c r="C61" i="4" l="1"/>
  <c r="C67" i="4" s="1"/>
  <c r="C71" i="4" s="1"/>
  <c r="C66" i="4" l="1"/>
  <c r="C70" i="4" s="1"/>
  <c r="C73" i="4" s="1"/>
  <c r="C82" i="4" s="1"/>
  <c r="C72" i="4" l="1"/>
  <c r="F78" i="4"/>
  <c r="C78" i="4" s="1"/>
  <c r="C83" i="4" s="1"/>
  <c r="C74" i="4"/>
  <c r="C75" i="4" l="1"/>
  <c r="C85" i="4" s="1"/>
  <c r="C86" i="4" s="1"/>
  <c r="G88" i="4" s="1"/>
  <c r="F88" i="4" l="1"/>
  <c r="C87" i="4" s="1"/>
  <c r="C93" i="4" s="1"/>
  <c r="C97" i="4" s="1"/>
  <c r="C88" i="4"/>
  <c r="C92" i="4" l="1"/>
  <c r="C96" i="4" l="1"/>
  <c r="C99" i="4" s="1"/>
  <c r="C108" i="4" s="1"/>
  <c r="C98" i="4"/>
  <c r="F104" i="4"/>
  <c r="C104" i="4" s="1"/>
  <c r="C100" i="4"/>
  <c r="C101" i="4" l="1"/>
  <c r="C109" i="4"/>
  <c r="C111" i="4" l="1"/>
  <c r="C112" i="4" s="1"/>
  <c r="F114" i="4" l="1"/>
  <c r="G114" i="4"/>
  <c r="C114" i="4"/>
  <c r="C113" i="4" l="1"/>
  <c r="C118" i="4" s="1"/>
  <c r="C119" i="4" l="1"/>
  <c r="C123" i="4" s="1"/>
  <c r="F130" i="4"/>
  <c r="C130" i="4" s="1"/>
  <c r="C122" i="4"/>
  <c r="C125" i="4" s="1"/>
  <c r="C134" i="4" s="1"/>
  <c r="C124" i="4"/>
  <c r="C126" i="4" l="1"/>
  <c r="C127" i="4" s="1"/>
  <c r="C135" i="4"/>
  <c r="D19" i="1" l="1"/>
  <c r="C137" i="4"/>
  <c r="C138" i="4" s="1"/>
  <c r="J9" i="1"/>
  <c r="D16" i="1" l="1"/>
  <c r="J5" i="1"/>
  <c r="F140" i="4"/>
  <c r="C140" i="4"/>
  <c r="D14" i="1" s="1"/>
  <c r="G140" i="4"/>
  <c r="C148" i="4" l="1"/>
  <c r="D24" i="1" s="1"/>
  <c r="C147" i="4"/>
  <c r="D23" i="1" s="1"/>
  <c r="J4" i="1"/>
  <c r="J6" i="1" s="1"/>
  <c r="C139" i="4"/>
  <c r="D18" i="1"/>
  <c r="E39" i="5"/>
  <c r="B35" i="5" s="1"/>
  <c r="B45" i="5" l="1"/>
  <c r="B46" i="5" s="1"/>
  <c r="J21" i="1" s="1"/>
  <c r="I21" i="1"/>
  <c r="I22" i="1" s="1"/>
  <c r="C142" i="4"/>
  <c r="D10" i="1"/>
  <c r="D25" i="1" l="1"/>
  <c r="J10" i="1"/>
  <c r="A50" i="2"/>
  <c r="A27" i="2"/>
  <c r="A28" i="2" s="1"/>
  <c r="C45" i="5"/>
  <c r="C46" i="5" s="1"/>
  <c r="J22" i="1" s="1"/>
  <c r="I23" i="1"/>
  <c r="A29" i="2" l="1"/>
  <c r="A30" i="2" s="1"/>
  <c r="A37" i="2" s="1"/>
  <c r="A38" i="2" s="1"/>
  <c r="A39" i="2"/>
  <c r="A40" i="2" s="1"/>
  <c r="A53" i="2"/>
  <c r="A54" i="2" s="1"/>
  <c r="A75" i="2"/>
  <c r="A51" i="2"/>
  <c r="A52" i="2" s="1"/>
  <c r="I24" i="1"/>
  <c r="E45" i="5" s="1"/>
  <c r="E46" i="5" s="1"/>
  <c r="J24" i="1" s="1"/>
  <c r="D45" i="5"/>
  <c r="D46" i="5" s="1"/>
  <c r="J23" i="1" s="1"/>
  <c r="A86" i="2" l="1"/>
  <c r="A78" i="2"/>
  <c r="A94" i="2" s="1"/>
  <c r="A79" i="2"/>
  <c r="A76" i="2"/>
  <c r="A91" i="2"/>
  <c r="A95" i="2" l="1"/>
  <c r="A80" i="2"/>
  <c r="A77" i="2"/>
  <c r="A93" i="2" s="1"/>
  <c r="A92" i="2"/>
  <c r="A87" i="2"/>
  <c r="A103" i="2" s="1"/>
  <c r="A88" i="2"/>
  <c r="A104" i="2" s="1"/>
  <c r="A102" i="2"/>
  <c r="A89" i="2"/>
  <c r="A105" i="2" s="1"/>
  <c r="A96" i="2" l="1"/>
  <c r="A81" i="2"/>
  <c r="A97" i="2" l="1"/>
  <c r="A82" i="2"/>
  <c r="A98" i="2" l="1"/>
  <c r="A83" i="2"/>
  <c r="A84" i="2" l="1"/>
  <c r="A100" i="2" s="1"/>
  <c r="A99" i="2"/>
</calcChain>
</file>

<file path=xl/sharedStrings.xml><?xml version="1.0" encoding="utf-8"?>
<sst xmlns="http://schemas.openxmlformats.org/spreadsheetml/2006/main" count="620" uniqueCount="245">
  <si>
    <t>mm</t>
  </si>
  <si>
    <t>kg</t>
  </si>
  <si>
    <t>°</t>
  </si>
  <si>
    <t>MPa</t>
  </si>
  <si>
    <t>kg/m3</t>
  </si>
  <si>
    <t>x</t>
  </si>
  <si>
    <t>y</t>
  </si>
  <si>
    <t>m/s</t>
  </si>
  <si>
    <t>a</t>
  </si>
  <si>
    <r>
      <t xml:space="preserve">tan </t>
    </r>
    <r>
      <rPr>
        <sz val="10"/>
        <rFont val="Symbol"/>
        <family val="1"/>
        <charset val="2"/>
      </rPr>
      <t>b</t>
    </r>
  </si>
  <si>
    <t>Penetrator</t>
  </si>
  <si>
    <t>2000 m</t>
  </si>
  <si>
    <t>0 m</t>
  </si>
  <si>
    <t>1000 m</t>
  </si>
  <si>
    <t>3000 m</t>
  </si>
  <si>
    <t>Gun</t>
  </si>
  <si>
    <t>Sabot</t>
  </si>
  <si>
    <t>caliber</t>
  </si>
  <si>
    <t>design pressure</t>
  </si>
  <si>
    <t>density</t>
  </si>
  <si>
    <t>Projectile</t>
  </si>
  <si>
    <t>length</t>
  </si>
  <si>
    <t>number of fins</t>
  </si>
  <si>
    <t>fin thickness</t>
  </si>
  <si>
    <t>tube thickness</t>
  </si>
  <si>
    <t>tracer length</t>
  </si>
  <si>
    <t>acpect ratio L/D</t>
  </si>
  <si>
    <t>mean diameter</t>
  </si>
  <si>
    <t>mass</t>
  </si>
  <si>
    <t>charge mass</t>
  </si>
  <si>
    <t>tracer mass</t>
  </si>
  <si>
    <t>accelerated mass</t>
  </si>
  <si>
    <t>flying mass</t>
  </si>
  <si>
    <t>muzzle velocity</t>
  </si>
  <si>
    <t>velocity drop 1000 m</t>
  </si>
  <si>
    <t>2 km</t>
  </si>
  <si>
    <t>front part</t>
  </si>
  <si>
    <t>at muzzle</t>
  </si>
  <si>
    <t>1 km</t>
  </si>
  <si>
    <t>3 km</t>
  </si>
  <si>
    <t>working length</t>
  </si>
  <si>
    <t>Perforation</t>
  </si>
  <si>
    <t>yield strength</t>
  </si>
  <si>
    <t>Ø at top</t>
  </si>
  <si>
    <t>buttress dia outside</t>
  </si>
  <si>
    <t>in the grooves</t>
  </si>
  <si>
    <t>length frustum</t>
  </si>
  <si>
    <t>obliquity NATO</t>
  </si>
  <si>
    <t>rear part</t>
  </si>
  <si>
    <t>obliquity</t>
  </si>
  <si>
    <t>target</t>
  </si>
  <si>
    <t>parameter</t>
  </si>
  <si>
    <t>tungsten length</t>
  </si>
  <si>
    <t>penetrator mass</t>
  </si>
  <si>
    <t>buttress</t>
  </si>
  <si>
    <t>tail in fins</t>
  </si>
  <si>
    <t>sabot mass</t>
  </si>
  <si>
    <t>L/D</t>
  </si>
  <si>
    <t>factors for:</t>
  </si>
  <si>
    <t>density ratio</t>
  </si>
  <si>
    <t>reference caliber</t>
  </si>
  <si>
    <t>reference design pressure</t>
  </si>
  <si>
    <t>penetrator</t>
  </si>
  <si>
    <t>bulge</t>
  </si>
  <si>
    <t>max. acceleration</t>
  </si>
  <si>
    <t>cup</t>
  </si>
  <si>
    <t>frontal cylinder length</t>
  </si>
  <si>
    <t>rear cylinder length</t>
  </si>
  <si>
    <t>mean shear stresses in buttress</t>
  </si>
  <si>
    <t>sabot</t>
  </si>
  <si>
    <t>Fin</t>
  </si>
  <si>
    <t>Assembly</t>
  </si>
  <si>
    <t>cylindric parts</t>
  </si>
  <si>
    <t>fins</t>
  </si>
  <si>
    <t>axis and lines</t>
  </si>
  <si>
    <t xml:space="preserve">buttress   </t>
  </si>
  <si>
    <t>length frontal cylinder</t>
  </si>
  <si>
    <t>diameter</t>
  </si>
  <si>
    <t>buttress part</t>
  </si>
  <si>
    <t>fin assembly</t>
  </si>
  <si>
    <t>120mm Smooth Bore</t>
  </si>
  <si>
    <t>Design of Tungsten-Penetrators and Corresponding Sabots</t>
  </si>
  <si>
    <t>tungsten</t>
  </si>
  <si>
    <t>tungsten mass</t>
  </si>
  <si>
    <t>status V3</t>
  </si>
  <si>
    <t>BHNT</t>
  </si>
  <si>
    <t>m</t>
  </si>
  <si>
    <t>Target density</t>
  </si>
  <si>
    <t>cal</t>
  </si>
  <si>
    <r>
      <t>m</t>
    </r>
    <r>
      <rPr>
        <vertAlign val="subscript"/>
        <sz val="10"/>
        <rFont val="Arial"/>
        <family val="2"/>
      </rPr>
      <t>P</t>
    </r>
  </si>
  <si>
    <r>
      <t>L</t>
    </r>
    <r>
      <rPr>
        <vertAlign val="subscript"/>
        <sz val="10"/>
        <rFont val="Arial"/>
        <family val="2"/>
      </rPr>
      <t>FP</t>
    </r>
  </si>
  <si>
    <r>
      <t>L</t>
    </r>
    <r>
      <rPr>
        <vertAlign val="subscript"/>
        <sz val="9"/>
        <rFont val="Arial"/>
        <family val="2"/>
      </rPr>
      <t>PRO</t>
    </r>
  </si>
  <si>
    <r>
      <t>D</t>
    </r>
    <r>
      <rPr>
        <sz val="9"/>
        <rFont val="Arial"/>
        <family val="2"/>
      </rPr>
      <t>v</t>
    </r>
    <r>
      <rPr>
        <vertAlign val="subscript"/>
        <sz val="9"/>
        <rFont val="Arial"/>
        <family val="2"/>
      </rPr>
      <t>1000</t>
    </r>
  </si>
  <si>
    <r>
      <t>m</t>
    </r>
    <r>
      <rPr>
        <vertAlign val="subscript"/>
        <sz val="9"/>
        <rFont val="Arial"/>
        <family val="2"/>
      </rPr>
      <t>acc</t>
    </r>
  </si>
  <si>
    <r>
      <t>m</t>
    </r>
    <r>
      <rPr>
        <vertAlign val="subscript"/>
        <sz val="9"/>
        <rFont val="Arial"/>
        <family val="2"/>
      </rPr>
      <t>fly</t>
    </r>
  </si>
  <si>
    <r>
      <t>v</t>
    </r>
    <r>
      <rPr>
        <vertAlign val="subscript"/>
        <sz val="9"/>
        <rFont val="Arial"/>
        <family val="2"/>
      </rPr>
      <t>0</t>
    </r>
  </si>
  <si>
    <r>
      <t>r</t>
    </r>
    <r>
      <rPr>
        <vertAlign val="subscript"/>
        <sz val="9"/>
        <rFont val="Arial"/>
        <family val="2"/>
      </rPr>
      <t>S</t>
    </r>
  </si>
  <si>
    <r>
      <t>m</t>
    </r>
    <r>
      <rPr>
        <vertAlign val="subscript"/>
        <sz val="9"/>
        <rFont val="Arial"/>
        <family val="2"/>
      </rPr>
      <t>S</t>
    </r>
  </si>
  <si>
    <r>
      <t>t</t>
    </r>
    <r>
      <rPr>
        <vertAlign val="subscript"/>
        <sz val="9"/>
        <rFont val="Arial"/>
        <family val="2"/>
      </rPr>
      <t>FT</t>
    </r>
  </si>
  <si>
    <r>
      <t>r</t>
    </r>
    <r>
      <rPr>
        <vertAlign val="subscript"/>
        <sz val="9"/>
        <rFont val="Arial"/>
        <family val="2"/>
      </rPr>
      <t>F</t>
    </r>
  </si>
  <si>
    <r>
      <t>L</t>
    </r>
    <r>
      <rPr>
        <vertAlign val="subscript"/>
        <sz val="9"/>
        <rFont val="Arial"/>
        <family val="2"/>
      </rPr>
      <t>T</t>
    </r>
  </si>
  <si>
    <r>
      <t>m</t>
    </r>
    <r>
      <rPr>
        <vertAlign val="subscript"/>
        <sz val="9"/>
        <rFont val="Arial"/>
        <family val="2"/>
      </rPr>
      <t>T</t>
    </r>
  </si>
  <si>
    <r>
      <t>m</t>
    </r>
    <r>
      <rPr>
        <vertAlign val="subscript"/>
        <sz val="9"/>
        <rFont val="Arial"/>
        <family val="2"/>
      </rPr>
      <t>FA</t>
    </r>
  </si>
  <si>
    <t>q</t>
  </si>
  <si>
    <r>
      <t>r</t>
    </r>
    <r>
      <rPr>
        <vertAlign val="subscript"/>
        <sz val="10"/>
        <rFont val="Arial"/>
        <family val="2"/>
      </rPr>
      <t>T</t>
    </r>
  </si>
  <si>
    <r>
      <t>cal</t>
    </r>
    <r>
      <rPr>
        <vertAlign val="subscript"/>
        <sz val="10"/>
        <color indexed="8"/>
        <rFont val="Arial"/>
        <family val="2"/>
      </rPr>
      <t>0</t>
    </r>
  </si>
  <si>
    <t>axis</t>
  </si>
  <si>
    <t>remarks</t>
  </si>
  <si>
    <r>
      <t>p</t>
    </r>
    <r>
      <rPr>
        <vertAlign val="subscript"/>
        <sz val="10"/>
        <color indexed="8"/>
        <rFont val="Arial"/>
        <family val="2"/>
      </rPr>
      <t>0</t>
    </r>
  </si>
  <si>
    <t>Target</t>
  </si>
  <si>
    <t>km/s</t>
  </si>
  <si>
    <r>
      <t>m/s</t>
    </r>
    <r>
      <rPr>
        <vertAlign val="super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</si>
  <si>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FP</t>
    </r>
  </si>
  <si>
    <t>cyl. buttress part</t>
  </si>
  <si>
    <r>
      <t>m</t>
    </r>
    <r>
      <rPr>
        <vertAlign val="subscript"/>
        <sz val="10"/>
        <rFont val="Arial"/>
        <family val="2"/>
      </rPr>
      <t>BC</t>
    </r>
  </si>
  <si>
    <r>
      <t>m</t>
    </r>
    <r>
      <rPr>
        <vertAlign val="subscript"/>
        <sz val="10"/>
        <rFont val="Arial"/>
        <family val="2"/>
      </rPr>
      <t>BP</t>
    </r>
  </si>
  <si>
    <r>
      <t>m</t>
    </r>
    <r>
      <rPr>
        <vertAlign val="subscript"/>
        <sz val="10"/>
        <rFont val="Arial"/>
        <family val="2"/>
      </rPr>
      <t>RP</t>
    </r>
  </si>
  <si>
    <r>
      <t>m</t>
    </r>
    <r>
      <rPr>
        <vertAlign val="subscript"/>
        <sz val="10"/>
        <rFont val="Arial"/>
        <family val="2"/>
      </rPr>
      <t>T</t>
    </r>
  </si>
  <si>
    <r>
      <t>m</t>
    </r>
    <r>
      <rPr>
        <vertAlign val="subscript"/>
        <sz val="10"/>
        <color indexed="8"/>
        <rFont val="Arial"/>
        <family val="2"/>
      </rPr>
      <t>S</t>
    </r>
  </si>
  <si>
    <r>
      <t>m</t>
    </r>
    <r>
      <rPr>
        <vertAlign val="subscript"/>
        <sz val="10"/>
        <color indexed="8"/>
        <rFont val="Arial"/>
        <family val="2"/>
      </rPr>
      <t>acc</t>
    </r>
  </si>
  <si>
    <r>
      <t>b</t>
    </r>
    <r>
      <rPr>
        <vertAlign val="subscript"/>
        <sz val="10"/>
        <color indexed="8"/>
        <rFont val="Arial"/>
        <family val="2"/>
      </rPr>
      <t>max</t>
    </r>
  </si>
  <si>
    <r>
      <t>L</t>
    </r>
    <r>
      <rPr>
        <vertAlign val="subscript"/>
        <sz val="10"/>
        <color indexed="8"/>
        <rFont val="Arial"/>
        <family val="2"/>
      </rPr>
      <t>FP</t>
    </r>
  </si>
  <si>
    <r>
      <t>L</t>
    </r>
    <r>
      <rPr>
        <vertAlign val="subscript"/>
        <sz val="10"/>
        <color indexed="8"/>
        <rFont val="Arial"/>
        <family val="2"/>
      </rPr>
      <t>RP</t>
    </r>
  </si>
  <si>
    <r>
      <t>m</t>
    </r>
    <r>
      <rPr>
        <vertAlign val="superscript"/>
        <sz val="10"/>
        <rFont val="Arial"/>
        <family val="2"/>
      </rPr>
      <t>2</t>
    </r>
  </si>
  <si>
    <r>
      <t>A</t>
    </r>
    <r>
      <rPr>
        <vertAlign val="subscript"/>
        <sz val="10"/>
        <color indexed="8"/>
        <rFont val="Arial"/>
        <family val="2"/>
      </rPr>
      <t>FP</t>
    </r>
  </si>
  <si>
    <r>
      <t>A</t>
    </r>
    <r>
      <rPr>
        <vertAlign val="subscript"/>
        <sz val="10"/>
        <color indexed="8"/>
        <rFont val="Arial"/>
        <family val="2"/>
      </rPr>
      <t>RP</t>
    </r>
  </si>
  <si>
    <r>
      <t>t</t>
    </r>
    <r>
      <rPr>
        <vertAlign val="subscript"/>
        <sz val="11"/>
        <color indexed="8"/>
        <rFont val="Arial"/>
        <family val="2"/>
      </rPr>
      <t>P</t>
    </r>
  </si>
  <si>
    <r>
      <t>t</t>
    </r>
    <r>
      <rPr>
        <vertAlign val="subscript"/>
        <sz val="11"/>
        <color indexed="8"/>
        <rFont val="Arial"/>
        <family val="2"/>
      </rPr>
      <t>S</t>
    </r>
  </si>
  <si>
    <r>
      <t>f</t>
    </r>
    <r>
      <rPr>
        <vertAlign val="subscript"/>
        <sz val="10"/>
        <color indexed="8"/>
        <rFont val="Arial"/>
        <family val="2"/>
      </rPr>
      <t>T</t>
    </r>
  </si>
  <si>
    <r>
      <t>L</t>
    </r>
    <r>
      <rPr>
        <vertAlign val="subscript"/>
        <sz val="10"/>
        <color indexed="8"/>
        <rFont val="Arial"/>
        <family val="2"/>
      </rPr>
      <t>P</t>
    </r>
  </si>
  <si>
    <r>
      <t>D</t>
    </r>
    <r>
      <rPr>
        <vertAlign val="subscript"/>
        <sz val="10"/>
        <color indexed="8"/>
        <rFont val="Arial"/>
        <family val="2"/>
      </rPr>
      <t>mean</t>
    </r>
  </si>
  <si>
    <r>
      <t>L</t>
    </r>
    <r>
      <rPr>
        <vertAlign val="subscript"/>
        <sz val="10"/>
        <color indexed="8"/>
        <rFont val="Arial"/>
        <family val="2"/>
      </rPr>
      <t>w</t>
    </r>
  </si>
  <si>
    <r>
      <t>r</t>
    </r>
    <r>
      <rPr>
        <vertAlign val="subscript"/>
        <sz val="10"/>
        <color indexed="8"/>
        <rFont val="Arial"/>
        <family val="2"/>
      </rPr>
      <t>P</t>
    </r>
  </si>
  <si>
    <t>Muzzle Velocity (km/s)</t>
  </si>
  <si>
    <r>
      <t>b</t>
    </r>
    <r>
      <rPr>
        <vertAlign val="subscript"/>
        <sz val="10"/>
        <rFont val="Arial"/>
        <family val="2"/>
      </rPr>
      <t>0</t>
    </r>
  </si>
  <si>
    <r>
      <t>b</t>
    </r>
    <r>
      <rPr>
        <vertAlign val="subscript"/>
        <sz val="10"/>
        <rFont val="Arial"/>
        <family val="2"/>
      </rPr>
      <t>1</t>
    </r>
  </si>
  <si>
    <r>
      <t>c</t>
    </r>
    <r>
      <rPr>
        <vertAlign val="subscript"/>
        <sz val="10"/>
        <rFont val="Arial"/>
        <family val="2"/>
      </rPr>
      <t>0</t>
    </r>
  </si>
  <si>
    <r>
      <t>c</t>
    </r>
    <r>
      <rPr>
        <vertAlign val="subscript"/>
        <sz val="10"/>
        <rFont val="Arial"/>
        <family val="2"/>
      </rPr>
      <t>1</t>
    </r>
  </si>
  <si>
    <t>Results of Step 1</t>
  </si>
  <si>
    <t>Step 1</t>
  </si>
  <si>
    <t>Step 5</t>
  </si>
  <si>
    <t>Step 2</t>
  </si>
  <si>
    <t>Step 3</t>
  </si>
  <si>
    <t>Step 4</t>
  </si>
  <si>
    <t>Results of Step 2</t>
  </si>
  <si>
    <t>Results of Step 3</t>
  </si>
  <si>
    <t>Results of Step 4</t>
  </si>
  <si>
    <r>
      <t>m</t>
    </r>
    <r>
      <rPr>
        <vertAlign val="subscript"/>
        <sz val="10"/>
        <color indexed="8"/>
        <rFont val="Arial"/>
        <family val="2"/>
      </rPr>
      <t>SRP</t>
    </r>
  </si>
  <si>
    <r>
      <t>m</t>
    </r>
    <r>
      <rPr>
        <vertAlign val="subscript"/>
        <sz val="10"/>
        <color indexed="8"/>
        <rFont val="Arial"/>
        <family val="2"/>
      </rPr>
      <t>SFP</t>
    </r>
  </si>
  <si>
    <r>
      <t>f</t>
    </r>
    <r>
      <rPr>
        <vertAlign val="subscript"/>
        <sz val="10"/>
        <rFont val="Arial"/>
        <family val="2"/>
      </rPr>
      <t>T</t>
    </r>
  </si>
  <si>
    <r>
      <t>D</t>
    </r>
    <r>
      <rPr>
        <vertAlign val="subscript"/>
        <sz val="10"/>
        <rFont val="Arial"/>
        <family val="2"/>
      </rPr>
      <t>FP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FT</t>
    </r>
  </si>
  <si>
    <t>Range</t>
  </si>
  <si>
    <t>Imp. Velocity</t>
  </si>
  <si>
    <t>Mean Shear Forces</t>
  </si>
  <si>
    <t>frustum</t>
  </si>
  <si>
    <t>tip length</t>
  </si>
  <si>
    <t>mass fin assembly</t>
  </si>
  <si>
    <t>Brinell Hard. Number</t>
  </si>
  <si>
    <r>
      <t>m</t>
    </r>
    <r>
      <rPr>
        <vertAlign val="subscript"/>
        <sz val="10"/>
        <color indexed="8"/>
        <rFont val="Arial"/>
        <family val="2"/>
      </rPr>
      <t>FA</t>
    </r>
  </si>
  <si>
    <r>
      <t>L</t>
    </r>
    <r>
      <rPr>
        <vertAlign val="subscript"/>
        <sz val="9"/>
        <rFont val="Arial"/>
        <family val="2"/>
      </rPr>
      <t>TIP</t>
    </r>
  </si>
  <si>
    <t>d1</t>
  </si>
  <si>
    <t>d2</t>
  </si>
  <si>
    <t>d3</t>
  </si>
  <si>
    <t>d4</t>
  </si>
  <si>
    <t>e1</t>
  </si>
  <si>
    <t>e2</t>
  </si>
  <si>
    <t>e3</t>
  </si>
  <si>
    <t>e4</t>
  </si>
  <si>
    <t>e5</t>
  </si>
  <si>
    <t>e6</t>
  </si>
  <si>
    <t>First step estimation:</t>
  </si>
  <si>
    <r>
      <t>n</t>
    </r>
    <r>
      <rPr>
        <vertAlign val="subscript"/>
        <sz val="9"/>
        <rFont val="Arial"/>
        <family val="2"/>
      </rPr>
      <t>F</t>
    </r>
  </si>
  <si>
    <r>
      <t>t</t>
    </r>
    <r>
      <rPr>
        <vertAlign val="subscript"/>
        <sz val="9"/>
        <rFont val="Arial"/>
        <family val="2"/>
      </rPr>
      <t>F</t>
    </r>
  </si>
  <si>
    <r>
      <t>m</t>
    </r>
    <r>
      <rPr>
        <vertAlign val="subscript"/>
        <sz val="10"/>
        <color indexed="8"/>
        <rFont val="Arial"/>
        <family val="2"/>
      </rPr>
      <t>SCP</t>
    </r>
  </si>
  <si>
    <r>
      <t>m</t>
    </r>
    <r>
      <rPr>
        <vertAlign val="subscript"/>
        <sz val="10"/>
        <color indexed="8"/>
        <rFont val="Arial"/>
        <family val="2"/>
      </rPr>
      <t>SCup</t>
    </r>
  </si>
  <si>
    <r>
      <t>m</t>
    </r>
    <r>
      <rPr>
        <vertAlign val="subscript"/>
        <sz val="10"/>
        <color indexed="8"/>
        <rFont val="Arial"/>
        <family val="2"/>
      </rPr>
      <t>B</t>
    </r>
  </si>
  <si>
    <r>
      <t>a</t>
    </r>
    <r>
      <rPr>
        <vertAlign val="subscript"/>
        <sz val="10"/>
        <rFont val="Arial"/>
        <family val="2"/>
      </rPr>
      <t>c</t>
    </r>
  </si>
  <si>
    <r>
      <t>b</t>
    </r>
    <r>
      <rPr>
        <vertAlign val="subscript"/>
        <sz val="10"/>
        <rFont val="Arial"/>
        <family val="2"/>
      </rPr>
      <t>c</t>
    </r>
  </si>
  <si>
    <r>
      <t>c</t>
    </r>
    <r>
      <rPr>
        <vertAlign val="subscript"/>
        <sz val="10"/>
        <rFont val="Arial"/>
        <family val="2"/>
      </rPr>
      <t>c</t>
    </r>
  </si>
  <si>
    <t>projectile length</t>
  </si>
  <si>
    <t>total length</t>
  </si>
  <si>
    <t>guiding length</t>
  </si>
  <si>
    <r>
      <t>L</t>
    </r>
    <r>
      <rPr>
        <vertAlign val="subscript"/>
        <sz val="9"/>
        <rFont val="Arial"/>
        <family val="2"/>
      </rPr>
      <t>G</t>
    </r>
  </si>
  <si>
    <t>6 * diameter front part</t>
  </si>
  <si>
    <r>
      <t>L</t>
    </r>
    <r>
      <rPr>
        <vertAlign val="subscript"/>
        <sz val="9"/>
        <rFont val="Arial"/>
        <family val="2"/>
      </rPr>
      <t>F</t>
    </r>
  </si>
  <si>
    <t>length of fins</t>
  </si>
  <si>
    <t>dia of fins</t>
  </si>
  <si>
    <r>
      <t>D</t>
    </r>
    <r>
      <rPr>
        <vertAlign val="subscript"/>
        <sz val="9"/>
        <rFont val="Arial"/>
        <family val="2"/>
      </rPr>
      <t>F</t>
    </r>
  </si>
  <si>
    <t>cord ratio</t>
  </si>
  <si>
    <t>f</t>
  </si>
  <si>
    <t>accelerated projectile mass</t>
  </si>
  <si>
    <t>tip</t>
  </si>
  <si>
    <t>top of frustum</t>
  </si>
  <si>
    <t>tube length</t>
  </si>
  <si>
    <t>Iteration Accuracy</t>
  </si>
  <si>
    <r>
      <t>r</t>
    </r>
    <r>
      <rPr>
        <vertAlign val="subscript"/>
        <sz val="9"/>
        <rFont val="Arial"/>
        <family val="2"/>
      </rPr>
      <t>P</t>
    </r>
  </si>
  <si>
    <r>
      <t>kg/m</t>
    </r>
    <r>
      <rPr>
        <vertAlign val="superscript"/>
        <sz val="9"/>
        <rFont val="Arial"/>
        <family val="2"/>
      </rPr>
      <t>3</t>
    </r>
  </si>
  <si>
    <r>
      <t>D</t>
    </r>
    <r>
      <rPr>
        <vertAlign val="subscript"/>
        <sz val="9"/>
        <rFont val="Arial"/>
        <family val="2"/>
      </rPr>
      <t>FT</t>
    </r>
  </si>
  <si>
    <r>
      <t>kg/m</t>
    </r>
    <r>
      <rPr>
        <vertAlign val="superscript"/>
        <sz val="9"/>
        <rFont val="Arial"/>
        <family val="2"/>
      </rPr>
      <t>3</t>
    </r>
  </si>
  <si>
    <r>
      <t>D</t>
    </r>
    <r>
      <rPr>
        <vertAlign val="subscript"/>
        <sz val="9"/>
        <rFont val="Arial"/>
        <family val="2"/>
      </rPr>
      <t>FP</t>
    </r>
  </si>
  <si>
    <r>
      <t>L</t>
    </r>
    <r>
      <rPr>
        <vertAlign val="subscript"/>
        <sz val="9"/>
        <rFont val="Arial"/>
        <family val="2"/>
      </rPr>
      <t>FP</t>
    </r>
  </si>
  <si>
    <r>
      <t>L</t>
    </r>
    <r>
      <rPr>
        <vertAlign val="subscript"/>
        <sz val="9"/>
        <rFont val="Arial"/>
        <family val="2"/>
      </rPr>
      <t>S</t>
    </r>
  </si>
  <si>
    <r>
      <t>D</t>
    </r>
    <r>
      <rPr>
        <vertAlign val="subscript"/>
        <sz val="9"/>
        <color indexed="8"/>
        <rFont val="Arial"/>
        <family val="2"/>
      </rPr>
      <t>BO</t>
    </r>
  </si>
  <si>
    <r>
      <t>D</t>
    </r>
    <r>
      <rPr>
        <vertAlign val="subscript"/>
        <sz val="9"/>
        <color indexed="8"/>
        <rFont val="Arial"/>
        <family val="2"/>
      </rPr>
      <t>BG</t>
    </r>
  </si>
  <si>
    <r>
      <t>D</t>
    </r>
    <r>
      <rPr>
        <vertAlign val="subscript"/>
        <sz val="9"/>
        <rFont val="Arial"/>
        <family val="2"/>
      </rPr>
      <t>RP</t>
    </r>
  </si>
  <si>
    <r>
      <t>L</t>
    </r>
    <r>
      <rPr>
        <vertAlign val="subscript"/>
        <sz val="9"/>
        <rFont val="Arial"/>
        <family val="2"/>
      </rPr>
      <t>RP</t>
    </r>
  </si>
  <si>
    <r>
      <t>L</t>
    </r>
    <r>
      <rPr>
        <vertAlign val="subscript"/>
        <sz val="9"/>
        <rFont val="Arial"/>
        <family val="2"/>
      </rPr>
      <t>P</t>
    </r>
  </si>
  <si>
    <r>
      <t>D</t>
    </r>
    <r>
      <rPr>
        <vertAlign val="subscript"/>
        <sz val="9"/>
        <rFont val="Arial"/>
        <family val="2"/>
      </rPr>
      <t>mean</t>
    </r>
  </si>
  <si>
    <r>
      <t>L</t>
    </r>
    <r>
      <rPr>
        <vertAlign val="subscript"/>
        <sz val="9"/>
        <rFont val="Arial"/>
        <family val="2"/>
      </rPr>
      <t>w</t>
    </r>
  </si>
  <si>
    <r>
      <t>m</t>
    </r>
    <r>
      <rPr>
        <vertAlign val="subscript"/>
        <sz val="9"/>
        <rFont val="Arial"/>
        <family val="2"/>
      </rPr>
      <t>P</t>
    </r>
  </si>
  <si>
    <r>
      <t>r</t>
    </r>
    <r>
      <rPr>
        <vertAlign val="subscript"/>
        <sz val="9"/>
        <rFont val="Arial"/>
        <family val="2"/>
      </rPr>
      <t>T</t>
    </r>
  </si>
  <si>
    <r>
      <t>t</t>
    </r>
    <r>
      <rPr>
        <vertAlign val="subscript"/>
        <sz val="9"/>
        <color indexed="8"/>
        <rFont val="Arial"/>
        <family val="2"/>
      </rPr>
      <t>P</t>
    </r>
  </si>
  <si>
    <r>
      <t>t</t>
    </r>
    <r>
      <rPr>
        <vertAlign val="subscript"/>
        <sz val="9"/>
        <color indexed="8"/>
        <rFont val="Arial"/>
        <family val="2"/>
      </rPr>
      <t>S</t>
    </r>
  </si>
  <si>
    <r>
      <t>L</t>
    </r>
    <r>
      <rPr>
        <vertAlign val="subscript"/>
        <sz val="9.5"/>
        <rFont val="Arial"/>
        <family val="2"/>
      </rPr>
      <t>cal</t>
    </r>
  </si>
  <si>
    <r>
      <t>m</t>
    </r>
    <r>
      <rPr>
        <vertAlign val="subscript"/>
        <sz val="9.5"/>
        <rFont val="Arial"/>
        <family val="2"/>
      </rPr>
      <t>c</t>
    </r>
  </si>
  <si>
    <r>
      <t>p</t>
    </r>
    <r>
      <rPr>
        <vertAlign val="subscript"/>
        <sz val="9.5"/>
        <rFont val="Arial"/>
        <family val="2"/>
      </rPr>
      <t>max</t>
    </r>
  </si>
  <si>
    <r>
      <t>R</t>
    </r>
    <r>
      <rPr>
        <vertAlign val="subscript"/>
        <sz val="9.5"/>
        <rFont val="Arial"/>
        <family val="2"/>
      </rPr>
      <t>m</t>
    </r>
  </si>
  <si>
    <r>
      <t>Velocity</t>
    </r>
    <r>
      <rPr>
        <sz val="9.5"/>
        <color indexed="8"/>
        <rFont val="Arial"/>
        <family val="2"/>
      </rPr>
      <t xml:space="preserve"> (km/s)</t>
    </r>
  </si>
  <si>
    <t>number of buttress</t>
  </si>
  <si>
    <r>
      <t>N</t>
    </r>
    <r>
      <rPr>
        <vertAlign val="subscript"/>
        <sz val="10"/>
        <rFont val="Arial"/>
        <family val="2"/>
      </rPr>
      <t>B</t>
    </r>
  </si>
  <si>
    <t>input</t>
  </si>
  <si>
    <t>output</t>
  </si>
  <si>
    <t>cylindrical front part</t>
  </si>
  <si>
    <t>sabot length</t>
  </si>
  <si>
    <t>Ls</t>
  </si>
  <si>
    <r>
      <t>f</t>
    </r>
    <r>
      <rPr>
        <vertAlign val="subscript"/>
        <sz val="10"/>
        <rFont val="Arial"/>
        <family val="2"/>
      </rPr>
      <t>b</t>
    </r>
  </si>
  <si>
    <t>E</t>
  </si>
  <si>
    <t>buckling</t>
  </si>
  <si>
    <t>compession</t>
  </si>
  <si>
    <t>frontal part</t>
  </si>
  <si>
    <t>Tungsten</t>
  </si>
  <si>
    <r>
      <t>L</t>
    </r>
    <r>
      <rPr>
        <vertAlign val="subscript"/>
        <sz val="9"/>
        <rFont val="Arial"/>
        <family val="2"/>
      </rPr>
      <t>Fru</t>
    </r>
  </si>
  <si>
    <r>
      <t>D</t>
    </r>
    <r>
      <rPr>
        <vertAlign val="subscript"/>
        <sz val="10"/>
        <rFont val="Arial"/>
        <family val="2"/>
      </rPr>
      <t>FT</t>
    </r>
    <r>
      <rPr>
        <sz val="10"/>
        <rFont val="Arial"/>
        <family val="2"/>
      </rPr>
      <t>/D</t>
    </r>
    <r>
      <rPr>
        <vertAlign val="subscript"/>
        <sz val="10"/>
        <rFont val="Arial"/>
        <family val="2"/>
      </rPr>
      <t>FP</t>
    </r>
  </si>
  <si>
    <r>
      <t>m</t>
    </r>
    <r>
      <rPr>
        <vertAlign val="subscript"/>
        <sz val="10"/>
        <rFont val="Arial"/>
        <family val="2"/>
      </rPr>
      <t>Fru</t>
    </r>
  </si>
  <si>
    <r>
      <t>Diff. in L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 xml:space="preserve"> between step 4 to step 5</t>
    </r>
  </si>
  <si>
    <t>required for picture
points 1 to 3</t>
  </si>
  <si>
    <t>0.6 * penetrator length (tungsten length)</t>
  </si>
  <si>
    <t>max. frontal cylinder length</t>
  </si>
  <si>
    <r>
      <t>x</t>
    </r>
    <r>
      <rPr>
        <vertAlign val="subscript"/>
        <sz val="10"/>
        <rFont val="Arial"/>
        <family val="2"/>
      </rPr>
      <t>1</t>
    </r>
  </si>
  <si>
    <r>
      <t>y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</si>
  <si>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</si>
  <si>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2</t>
    </r>
  </si>
  <si>
    <r>
      <t>x</t>
    </r>
    <r>
      <rPr>
        <vertAlign val="subscript"/>
        <sz val="10"/>
        <rFont val="Arial"/>
        <family val="2"/>
      </rPr>
      <t>3</t>
    </r>
  </si>
  <si>
    <r>
      <t>y</t>
    </r>
    <r>
      <rPr>
        <vertAlign val="subscript"/>
        <sz val="10"/>
        <rFont val="Arial"/>
        <family val="2"/>
      </rPr>
      <t>3</t>
    </r>
  </si>
  <si>
    <t xml:space="preserve"> m_tracer_0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</si>
</sst>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.00_ ;_ * \-#,##0.00_ ;_ * &quot;-&quot;??_ ;_ @_ "/>
    <numFmt numFmtId="177" formatCode="0.0"/>
    <numFmt numFmtId="178" formatCode="0.000"/>
    <numFmt numFmtId="179" formatCode="_ * #,##0_ ;_ * \-#,##0_ ;_ * &quot;-&quot;??_ ;_ @_ "/>
    <numFmt numFmtId="180" formatCode="0.00000"/>
    <numFmt numFmtId="181" formatCode="_ * #,##0.000_ ;_ * \-#,##0.000_ ;_ * &quot;-&quot;??_ ;_ @_ "/>
    <numFmt numFmtId="182" formatCode="#,##0_ ;\-#,##0\ "/>
    <numFmt numFmtId="183" formatCode="#,##0.000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8"/>
      <color indexed="8"/>
      <name val="Arial"/>
      <family val="2"/>
    </font>
    <font>
      <sz val="10"/>
      <color indexed="8"/>
      <name val="Symbol"/>
      <family val="1"/>
      <charset val="2"/>
    </font>
    <font>
      <vertAlign val="subscript"/>
      <sz val="9"/>
      <name val="Arial"/>
      <family val="2"/>
    </font>
    <font>
      <sz val="9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name val="Arial"/>
      <family val="2"/>
    </font>
    <font>
      <sz val="11"/>
      <color indexed="8"/>
      <name val="Symbol"/>
      <family val="1"/>
      <charset val="2"/>
    </font>
    <font>
      <vertAlign val="subscript"/>
      <sz val="11"/>
      <color indexed="8"/>
      <name val="Arial"/>
      <family val="2"/>
    </font>
    <font>
      <b/>
      <sz val="20"/>
      <color indexed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vertAlign val="subscript"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.5"/>
      <name val="Arial"/>
      <family val="2"/>
    </font>
    <font>
      <sz val="9.5"/>
      <name val="Arial"/>
      <family val="2"/>
    </font>
    <font>
      <vertAlign val="subscript"/>
      <sz val="9.5"/>
      <name val="Arial"/>
      <family val="2"/>
    </font>
    <font>
      <sz val="9.5"/>
      <color indexed="8"/>
      <name val="Arial"/>
      <family val="2"/>
    </font>
    <font>
      <sz val="9.5"/>
      <color indexed="8"/>
      <name val="Arial"/>
      <family val="2"/>
    </font>
    <font>
      <sz val="9.5"/>
      <name val="Arial"/>
      <family val="2"/>
    </font>
    <font>
      <b/>
      <sz val="9.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68">
    <xf numFmtId="0" fontId="0" fillId="0" borderId="0" xfId="0"/>
    <xf numFmtId="0" fontId="4" fillId="0" borderId="0" xfId="0" applyFont="1" applyProtection="1"/>
    <xf numFmtId="177" fontId="11" fillId="2" borderId="1" xfId="0" applyNumberFormat="1" applyFont="1" applyFill="1" applyBorder="1" applyAlignment="1" applyProtection="1">
      <alignment vertical="center"/>
    </xf>
    <xf numFmtId="0" fontId="14" fillId="0" borderId="2" xfId="0" applyFont="1" applyBorder="1" applyAlignment="1" applyProtection="1">
      <alignment horizontal="left" vertical="center" indent="1"/>
    </xf>
    <xf numFmtId="0" fontId="14" fillId="0" borderId="0" xfId="0" applyFont="1" applyBorder="1" applyAlignment="1" applyProtection="1">
      <alignment horizontal="left" vertical="center" indent="1"/>
    </xf>
    <xf numFmtId="0" fontId="14" fillId="0" borderId="3" xfId="0" applyFont="1" applyBorder="1" applyAlignment="1" applyProtection="1">
      <alignment horizontal="left" vertical="center" indent="1"/>
    </xf>
    <xf numFmtId="0" fontId="14" fillId="0" borderId="4" xfId="0" applyFont="1" applyBorder="1" applyAlignment="1" applyProtection="1">
      <alignment horizontal="left" vertical="center" indent="1"/>
    </xf>
    <xf numFmtId="0" fontId="19" fillId="0" borderId="0" xfId="0" applyFont="1" applyAlignment="1" applyProtection="1">
      <alignment horizontal="center"/>
    </xf>
    <xf numFmtId="0" fontId="15" fillId="3" borderId="1" xfId="0" applyFont="1" applyFill="1" applyBorder="1" applyAlignment="1" applyProtection="1">
      <alignment horizontal="left" vertical="center" indent="1"/>
    </xf>
    <xf numFmtId="0" fontId="19" fillId="0" borderId="0" xfId="0" applyFont="1" applyAlignment="1" applyProtection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/>
    <xf numFmtId="0" fontId="24" fillId="0" borderId="0" xfId="0" applyFont="1" applyBorder="1" applyAlignment="1" applyProtection="1">
      <alignment horizontal="left" vertical="center" indent="1"/>
    </xf>
    <xf numFmtId="0" fontId="24" fillId="0" borderId="5" xfId="0" applyFont="1" applyBorder="1" applyAlignment="1" applyProtection="1">
      <alignment horizontal="left" vertical="center" indent="1"/>
    </xf>
    <xf numFmtId="177" fontId="11" fillId="2" borderId="5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alignment horizontal="center"/>
    </xf>
    <xf numFmtId="178" fontId="19" fillId="0" borderId="0" xfId="0" applyNumberFormat="1" applyFont="1" applyAlignment="1" applyProtection="1">
      <alignment horizontal="center"/>
    </xf>
    <xf numFmtId="0" fontId="32" fillId="0" borderId="4" xfId="0" applyFont="1" applyBorder="1" applyAlignment="1" applyProtection="1">
      <alignment horizontal="left" vertical="center" indent="1"/>
    </xf>
    <xf numFmtId="0" fontId="14" fillId="0" borderId="6" xfId="0" applyFont="1" applyBorder="1" applyAlignment="1" applyProtection="1">
      <alignment horizontal="left" vertical="center" indent="1"/>
    </xf>
    <xf numFmtId="0" fontId="14" fillId="0" borderId="7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4" fillId="3" borderId="8" xfId="0" applyFont="1" applyFill="1" applyBorder="1" applyAlignment="1" applyProtection="1">
      <alignment vertical="center"/>
      <protection locked="0"/>
    </xf>
    <xf numFmtId="0" fontId="14" fillId="3" borderId="1" xfId="0" applyFont="1" applyFill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/>
    </xf>
    <xf numFmtId="0" fontId="36" fillId="0" borderId="4" xfId="0" applyFont="1" applyBorder="1" applyAlignment="1" applyProtection="1">
      <alignment horizontal="left" vertical="center" indent="1"/>
    </xf>
    <xf numFmtId="178" fontId="14" fillId="2" borderId="1" xfId="0" applyNumberFormat="1" applyFont="1" applyFill="1" applyBorder="1" applyAlignment="1" applyProtection="1">
      <alignment vertical="center"/>
    </xf>
    <xf numFmtId="0" fontId="36" fillId="0" borderId="6" xfId="0" applyFont="1" applyBorder="1" applyAlignment="1" applyProtection="1">
      <alignment horizontal="left" vertical="center" indent="1"/>
    </xf>
    <xf numFmtId="178" fontId="14" fillId="2" borderId="5" xfId="0" applyNumberFormat="1" applyFont="1" applyFill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3" fontId="14" fillId="3" borderId="1" xfId="0" applyNumberFormat="1" applyFont="1" applyFill="1" applyBorder="1" applyAlignment="1" applyProtection="1">
      <alignment vertical="center"/>
      <protection locked="0"/>
    </xf>
    <xf numFmtId="0" fontId="36" fillId="0" borderId="12" xfId="0" applyFont="1" applyBorder="1" applyAlignment="1" applyProtection="1">
      <alignment horizontal="left" vertical="center" indent="1"/>
    </xf>
    <xf numFmtId="178" fontId="32" fillId="2" borderId="13" xfId="0" applyNumberFormat="1" applyFont="1" applyFill="1" applyBorder="1" applyAlignment="1" applyProtection="1">
      <alignment vertical="center"/>
    </xf>
    <xf numFmtId="0" fontId="36" fillId="0" borderId="11" xfId="0" applyFont="1" applyBorder="1" applyAlignment="1" applyProtection="1">
      <alignment horizontal="right" vertical="center" indent="1"/>
    </xf>
    <xf numFmtId="0" fontId="35" fillId="0" borderId="4" xfId="0" applyFont="1" applyBorder="1" applyAlignment="1" applyProtection="1">
      <alignment horizontal="left" vertical="center" indent="1"/>
    </xf>
    <xf numFmtId="177" fontId="14" fillId="3" borderId="1" xfId="0" applyNumberFormat="1" applyFont="1" applyFill="1" applyBorder="1" applyAlignment="1" applyProtection="1">
      <alignment vertical="center"/>
      <protection locked="0"/>
    </xf>
    <xf numFmtId="0" fontId="14" fillId="0" borderId="5" xfId="0" applyFont="1" applyBorder="1" applyAlignment="1" applyProtection="1">
      <alignment horizontal="left" vertical="center" indent="1"/>
    </xf>
    <xf numFmtId="0" fontId="14" fillId="0" borderId="11" xfId="0" applyFont="1" applyBorder="1" applyAlignment="1" applyProtection="1">
      <alignment horizontal="left" indent="1"/>
    </xf>
    <xf numFmtId="177" fontId="14" fillId="2" borderId="1" xfId="0" applyNumberFormat="1" applyFont="1" applyFill="1" applyBorder="1" applyAlignment="1" applyProtection="1">
      <alignment vertical="center"/>
    </xf>
    <xf numFmtId="0" fontId="32" fillId="0" borderId="14" xfId="0" applyFont="1" applyBorder="1" applyAlignment="1" applyProtection="1">
      <alignment horizontal="left" indent="1"/>
    </xf>
    <xf numFmtId="0" fontId="35" fillId="0" borderId="0" xfId="0" applyFont="1" applyBorder="1" applyAlignment="1" applyProtection="1">
      <alignment horizontal="left" vertical="center" indent="1"/>
    </xf>
    <xf numFmtId="0" fontId="36" fillId="0" borderId="4" xfId="0" applyFont="1" applyBorder="1" applyAlignment="1" applyProtection="1">
      <alignment horizontal="right" vertical="center" indent="1"/>
    </xf>
    <xf numFmtId="0" fontId="14" fillId="3" borderId="14" xfId="0" applyFont="1" applyFill="1" applyBorder="1" applyAlignment="1" applyProtection="1">
      <alignment vertical="center"/>
      <protection locked="0"/>
    </xf>
    <xf numFmtId="177" fontId="14" fillId="2" borderId="1" xfId="0" applyNumberFormat="1" applyFont="1" applyFill="1" applyBorder="1" applyAlignment="1" applyProtection="1">
      <alignment horizontal="right" vertical="center"/>
    </xf>
    <xf numFmtId="0" fontId="14" fillId="0" borderId="9" xfId="0" applyFont="1" applyFill="1" applyBorder="1" applyAlignment="1" applyProtection="1">
      <alignment vertical="center"/>
    </xf>
    <xf numFmtId="0" fontId="35" fillId="0" borderId="11" xfId="0" applyFont="1" applyBorder="1" applyAlignment="1" applyProtection="1">
      <alignment horizontal="right" vertical="center"/>
    </xf>
    <xf numFmtId="178" fontId="14" fillId="3" borderId="1" xfId="0" applyNumberFormat="1" applyFont="1" applyFill="1" applyBorder="1" applyAlignment="1" applyProtection="1">
      <alignment vertical="center"/>
      <protection locked="0"/>
    </xf>
    <xf numFmtId="0" fontId="35" fillId="0" borderId="15" xfId="0" applyFont="1" applyBorder="1" applyAlignment="1" applyProtection="1">
      <alignment horizontal="right" vertical="center"/>
    </xf>
    <xf numFmtId="178" fontId="14" fillId="2" borderId="13" xfId="0" applyNumberFormat="1" applyFont="1" applyFill="1" applyBorder="1" applyAlignment="1" applyProtection="1">
      <alignment vertical="center"/>
    </xf>
    <xf numFmtId="0" fontId="24" fillId="0" borderId="6" xfId="0" applyFont="1" applyBorder="1" applyAlignment="1" applyProtection="1">
      <alignment horizontal="left" vertical="center" indent="1"/>
    </xf>
    <xf numFmtId="0" fontId="36" fillId="0" borderId="6" xfId="0" applyFont="1" applyBorder="1" applyAlignment="1" applyProtection="1">
      <alignment horizontal="right" vertical="center" indent="1"/>
    </xf>
    <xf numFmtId="178" fontId="34" fillId="2" borderId="8" xfId="0" applyNumberFormat="1" applyFont="1" applyFill="1" applyBorder="1" applyAlignment="1" applyProtection="1">
      <alignment horizontal="center" vertical="center"/>
    </xf>
    <xf numFmtId="1" fontId="34" fillId="2" borderId="8" xfId="0" applyNumberFormat="1" applyFont="1" applyFill="1" applyBorder="1" applyAlignment="1" applyProtection="1">
      <alignment horizontal="center" vertical="center"/>
    </xf>
    <xf numFmtId="0" fontId="14" fillId="0" borderId="7" xfId="0" applyFont="1" applyBorder="1" applyProtection="1"/>
    <xf numFmtId="0" fontId="36" fillId="0" borderId="9" xfId="0" applyFont="1" applyFill="1" applyBorder="1" applyAlignment="1" applyProtection="1">
      <alignment horizontal="center" vertical="center"/>
    </xf>
    <xf numFmtId="178" fontId="34" fillId="2" borderId="14" xfId="0" applyNumberFormat="1" applyFont="1" applyFill="1" applyBorder="1" applyAlignment="1" applyProtection="1">
      <alignment horizontal="center" vertical="center"/>
    </xf>
    <xf numFmtId="1" fontId="34" fillId="2" borderId="1" xfId="0" applyNumberFormat="1" applyFont="1" applyFill="1" applyBorder="1" applyAlignment="1" applyProtection="1">
      <alignment horizontal="center" vertical="center"/>
    </xf>
    <xf numFmtId="0" fontId="14" fillId="0" borderId="9" xfId="0" applyFont="1" applyBorder="1" applyProtection="1"/>
    <xf numFmtId="0" fontId="24" fillId="0" borderId="12" xfId="0" applyFont="1" applyBorder="1" applyAlignment="1" applyProtection="1">
      <alignment horizontal="left" vertical="center" indent="1"/>
    </xf>
    <xf numFmtId="0" fontId="14" fillId="3" borderId="13" xfId="0" applyFont="1" applyFill="1" applyBorder="1" applyAlignment="1" applyProtection="1">
      <alignment vertical="center"/>
      <protection locked="0"/>
    </xf>
    <xf numFmtId="1" fontId="14" fillId="2" borderId="8" xfId="0" applyNumberFormat="1" applyFont="1" applyFill="1" applyBorder="1" applyProtection="1"/>
    <xf numFmtId="0" fontId="14" fillId="0" borderId="16" xfId="0" applyFont="1" applyBorder="1" applyProtection="1"/>
    <xf numFmtId="1" fontId="14" fillId="2" borderId="13" xfId="0" applyNumberFormat="1" applyFont="1" applyFill="1" applyBorder="1" applyProtection="1"/>
    <xf numFmtId="0" fontId="14" fillId="0" borderId="17" xfId="0" applyFont="1" applyBorder="1" applyProtection="1"/>
    <xf numFmtId="0" fontId="32" fillId="0" borderId="3" xfId="0" applyFont="1" applyBorder="1" applyAlignment="1" applyProtection="1">
      <alignment horizontal="left" indent="1"/>
    </xf>
    <xf numFmtId="0" fontId="14" fillId="0" borderId="3" xfId="0" applyFont="1" applyBorder="1" applyProtection="1"/>
    <xf numFmtId="0" fontId="14" fillId="0" borderId="10" xfId="0" applyFont="1" applyFill="1" applyBorder="1" applyAlignment="1" applyProtection="1">
      <alignment vertical="center"/>
    </xf>
    <xf numFmtId="0" fontId="40" fillId="5" borderId="18" xfId="0" applyFont="1" applyFill="1" applyBorder="1" applyAlignment="1" applyProtection="1">
      <alignment horizontal="left" vertical="center" indent="1"/>
    </xf>
    <xf numFmtId="0" fontId="41" fillId="0" borderId="2" xfId="0" applyFont="1" applyBorder="1" applyAlignment="1" applyProtection="1">
      <alignment horizontal="left" vertical="center" indent="1"/>
    </xf>
    <xf numFmtId="0" fontId="41" fillId="0" borderId="6" xfId="0" applyFont="1" applyBorder="1" applyAlignment="1" applyProtection="1">
      <alignment horizontal="left" vertical="center" indent="1"/>
    </xf>
    <xf numFmtId="0" fontId="41" fillId="0" borderId="7" xfId="0" applyFont="1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40" fillId="5" borderId="19" xfId="0" applyFont="1" applyFill="1" applyBorder="1" applyAlignment="1" applyProtection="1">
      <alignment horizontal="left" vertical="center" indent="1"/>
    </xf>
    <xf numFmtId="0" fontId="41" fillId="0" borderId="0" xfId="0" applyFont="1" applyProtection="1"/>
    <xf numFmtId="0" fontId="41" fillId="0" borderId="20" xfId="0" applyFont="1" applyBorder="1" applyAlignment="1" applyProtection="1">
      <alignment horizontal="left" vertical="center" indent="1"/>
    </xf>
    <xf numFmtId="0" fontId="41" fillId="0" borderId="0" xfId="0" applyFont="1" applyBorder="1" applyAlignment="1" applyProtection="1">
      <alignment horizontal="left" vertical="center" indent="1"/>
    </xf>
    <xf numFmtId="0" fontId="41" fillId="0" borderId="4" xfId="0" applyFont="1" applyBorder="1" applyAlignment="1" applyProtection="1">
      <alignment horizontal="left" vertical="center" indent="1"/>
    </xf>
    <xf numFmtId="0" fontId="41" fillId="3" borderId="1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vertical="center"/>
    </xf>
    <xf numFmtId="0" fontId="43" fillId="0" borderId="11" xfId="0" applyFont="1" applyBorder="1" applyAlignment="1" applyProtection="1">
      <alignment horizontal="left" vertical="center" indent="1"/>
    </xf>
    <xf numFmtId="0" fontId="41" fillId="3" borderId="1" xfId="0" applyFont="1" applyFill="1" applyBorder="1" applyAlignment="1" applyProtection="1">
      <alignment horizontal="right" vertical="center"/>
      <protection locked="0"/>
    </xf>
    <xf numFmtId="0" fontId="41" fillId="0" borderId="21" xfId="0" applyFont="1" applyBorder="1" applyAlignment="1" applyProtection="1">
      <alignment horizontal="left" vertical="center" indent="1"/>
    </xf>
    <xf numFmtId="0" fontId="41" fillId="0" borderId="3" xfId="0" applyFont="1" applyBorder="1" applyAlignment="1" applyProtection="1">
      <alignment horizontal="left" vertical="center" indent="1"/>
    </xf>
    <xf numFmtId="0" fontId="41" fillId="0" borderId="12" xfId="0" applyFont="1" applyBorder="1" applyAlignment="1" applyProtection="1">
      <alignment horizontal="left" vertical="center" indent="1"/>
    </xf>
    <xf numFmtId="3" fontId="41" fillId="3" borderId="13" xfId="0" applyNumberFormat="1" applyFont="1" applyFill="1" applyBorder="1" applyAlignment="1" applyProtection="1">
      <alignment horizontal="right" vertical="center"/>
      <protection locked="0"/>
    </xf>
    <xf numFmtId="0" fontId="41" fillId="0" borderId="10" xfId="0" applyFont="1" applyBorder="1" applyAlignment="1" applyProtection="1">
      <alignment vertical="center"/>
    </xf>
    <xf numFmtId="0" fontId="44" fillId="0" borderId="6" xfId="0" applyFont="1" applyBorder="1" applyAlignment="1" applyProtection="1">
      <alignment horizontal="left" vertical="center" indent="1"/>
    </xf>
    <xf numFmtId="3" fontId="41" fillId="3" borderId="8" xfId="0" applyNumberFormat="1" applyFont="1" applyFill="1" applyBorder="1" applyAlignment="1" applyProtection="1">
      <alignment horizontal="right" vertical="center"/>
      <protection locked="0"/>
    </xf>
    <xf numFmtId="0" fontId="43" fillId="0" borderId="15" xfId="0" applyFont="1" applyBorder="1" applyAlignment="1" applyProtection="1">
      <alignment horizontal="left" vertical="center" indent="1"/>
    </xf>
    <xf numFmtId="0" fontId="40" fillId="0" borderId="11" xfId="0" applyFont="1" applyFill="1" applyBorder="1" applyAlignment="1" applyProtection="1">
      <alignment horizontal="left" vertical="center" indent="1"/>
    </xf>
    <xf numFmtId="0" fontId="41" fillId="0" borderId="11" xfId="0" applyFont="1" applyBorder="1" applyAlignment="1" applyProtection="1">
      <alignment horizontal="left" vertical="center" indent="1"/>
    </xf>
    <xf numFmtId="0" fontId="41" fillId="0" borderId="15" xfId="0" applyFont="1" applyBorder="1" applyAlignment="1" applyProtection="1">
      <alignment horizontal="left" indent="1"/>
    </xf>
    <xf numFmtId="0" fontId="46" fillId="5" borderId="19" xfId="0" applyFont="1" applyFill="1" applyBorder="1" applyAlignment="1" applyProtection="1">
      <alignment horizontal="left" vertical="center" indent="1"/>
    </xf>
    <xf numFmtId="0" fontId="46" fillId="5" borderId="11" xfId="0" applyFont="1" applyFill="1" applyBorder="1" applyAlignment="1" applyProtection="1">
      <alignment horizontal="left" vertical="center" indent="1"/>
    </xf>
    <xf numFmtId="0" fontId="46" fillId="0" borderId="11" xfId="0" applyFont="1" applyFill="1" applyBorder="1" applyAlignment="1" applyProtection="1">
      <alignment horizontal="left" vertical="center" indent="1"/>
    </xf>
    <xf numFmtId="0" fontId="44" fillId="0" borderId="11" xfId="0" applyFont="1" applyBorder="1" applyAlignment="1" applyProtection="1">
      <alignment horizontal="left" vertical="center" indent="1"/>
    </xf>
    <xf numFmtId="0" fontId="41" fillId="0" borderId="0" xfId="0" applyFont="1" applyAlignment="1" applyProtection="1">
      <alignment horizontal="left" indent="1"/>
    </xf>
    <xf numFmtId="0" fontId="45" fillId="0" borderId="0" xfId="0" applyFont="1" applyAlignment="1" applyProtection="1">
      <alignment horizontal="left" indent="1"/>
    </xf>
    <xf numFmtId="0" fontId="41" fillId="0" borderId="11" xfId="0" applyFont="1" applyBorder="1" applyAlignment="1" applyProtection="1">
      <alignment horizontal="right"/>
    </xf>
    <xf numFmtId="0" fontId="41" fillId="0" borderId="15" xfId="0" applyFont="1" applyBorder="1" applyAlignment="1" applyProtection="1">
      <alignment horizontal="right"/>
    </xf>
    <xf numFmtId="0" fontId="41" fillId="0" borderId="15" xfId="0" applyFont="1" applyBorder="1" applyProtection="1"/>
    <xf numFmtId="0" fontId="40" fillId="0" borderId="21" xfId="0" applyFont="1" applyBorder="1" applyAlignment="1" applyProtection="1">
      <alignment horizontal="left" vertical="center" indent="1"/>
    </xf>
    <xf numFmtId="177" fontId="41" fillId="0" borderId="0" xfId="0" applyNumberFormat="1" applyFont="1" applyProtection="1"/>
    <xf numFmtId="0" fontId="41" fillId="0" borderId="0" xfId="0" applyFont="1" applyAlignment="1" applyProtection="1">
      <alignment horizontal="right"/>
    </xf>
    <xf numFmtId="0" fontId="44" fillId="0" borderId="0" xfId="0" applyFont="1" applyAlignment="1" applyProtection="1">
      <alignment horizontal="right"/>
    </xf>
    <xf numFmtId="0" fontId="41" fillId="0" borderId="0" xfId="0" applyFont="1" applyFill="1" applyProtection="1"/>
    <xf numFmtId="0" fontId="41" fillId="0" borderId="0" xfId="0" applyFont="1" applyFill="1" applyAlignment="1" applyProtection="1">
      <alignment horizontal="right"/>
    </xf>
    <xf numFmtId="178" fontId="41" fillId="0" borderId="0" xfId="0" applyNumberFormat="1" applyFont="1" applyFill="1" applyProtection="1"/>
    <xf numFmtId="0" fontId="40" fillId="0" borderId="0" xfId="0" applyFont="1" applyProtection="1"/>
    <xf numFmtId="1" fontId="34" fillId="2" borderId="5" xfId="0" applyNumberFormat="1" applyFont="1" applyFill="1" applyBorder="1" applyAlignment="1" applyProtection="1">
      <alignment horizontal="center" vertical="center"/>
    </xf>
    <xf numFmtId="178" fontId="34" fillId="2" borderId="4" xfId="0" applyNumberFormat="1" applyFont="1" applyFill="1" applyBorder="1" applyAlignment="1" applyProtection="1">
      <alignment horizontal="center" vertical="center"/>
    </xf>
    <xf numFmtId="0" fontId="41" fillId="0" borderId="22" xfId="0" applyFont="1" applyBorder="1" applyAlignment="1" applyProtection="1">
      <alignment horizontal="right"/>
    </xf>
    <xf numFmtId="0" fontId="41" fillId="0" borderId="23" xfId="0" applyFont="1" applyBorder="1" applyProtection="1"/>
    <xf numFmtId="0" fontId="14" fillId="2" borderId="24" xfId="0" applyFont="1" applyFill="1" applyBorder="1" applyAlignment="1" applyProtection="1">
      <alignment horizontal="left" vertical="center" indent="1"/>
    </xf>
    <xf numFmtId="0" fontId="41" fillId="3" borderId="25" xfId="0" applyFont="1" applyFill="1" applyBorder="1" applyAlignment="1" applyProtection="1">
      <alignment horizontal="center"/>
    </xf>
    <xf numFmtId="0" fontId="41" fillId="0" borderId="26" xfId="0" applyFont="1" applyBorder="1" applyProtection="1"/>
    <xf numFmtId="0" fontId="41" fillId="6" borderId="8" xfId="0" applyFont="1" applyFill="1" applyBorder="1" applyAlignment="1" applyProtection="1">
      <alignment vertical="center"/>
    </xf>
    <xf numFmtId="178" fontId="14" fillId="2" borderId="12" xfId="0" applyNumberFormat="1" applyFont="1" applyFill="1" applyBorder="1" applyAlignment="1" applyProtection="1">
      <alignment vertical="center"/>
    </xf>
    <xf numFmtId="0" fontId="0" fillId="0" borderId="0" xfId="0" applyProtection="1"/>
    <xf numFmtId="0" fontId="36" fillId="0" borderId="6" xfId="0" applyFont="1" applyBorder="1" applyAlignment="1" applyProtection="1">
      <alignment horizontal="left" indent="1"/>
    </xf>
    <xf numFmtId="0" fontId="39" fillId="0" borderId="2" xfId="0" applyFont="1" applyBorder="1" applyAlignment="1" applyProtection="1">
      <alignment horizontal="left" indent="1"/>
    </xf>
    <xf numFmtId="0" fontId="36" fillId="0" borderId="12" xfId="0" applyFont="1" applyBorder="1" applyAlignment="1" applyProtection="1">
      <alignment horizontal="left" indent="1"/>
    </xf>
    <xf numFmtId="0" fontId="39" fillId="0" borderId="3" xfId="0" applyFont="1" applyBorder="1" applyAlignment="1" applyProtection="1">
      <alignment horizontal="left" indent="1"/>
    </xf>
    <xf numFmtId="1" fontId="14" fillId="3" borderId="1" xfId="0" applyNumberFormat="1" applyFont="1" applyFill="1" applyBorder="1" applyAlignment="1" applyProtection="1">
      <alignment vertical="center"/>
      <protection locked="0"/>
    </xf>
    <xf numFmtId="3" fontId="14" fillId="3" borderId="8" xfId="0" applyNumberFormat="1" applyFont="1" applyFill="1" applyBorder="1" applyProtection="1">
      <protection locked="0"/>
    </xf>
    <xf numFmtId="0" fontId="0" fillId="0" borderId="0" xfId="0" applyAlignment="1" applyProtection="1">
      <alignment horizontal="center"/>
    </xf>
    <xf numFmtId="178" fontId="0" fillId="0" borderId="0" xfId="0" applyNumberFormat="1" applyProtection="1"/>
    <xf numFmtId="0" fontId="11" fillId="0" borderId="0" xfId="0" applyFont="1" applyAlignment="1" applyProtection="1">
      <alignment horizontal="right" indent="1"/>
    </xf>
    <xf numFmtId="0" fontId="10" fillId="0" borderId="0" xfId="0" applyFont="1" applyAlignment="1" applyProtection="1">
      <alignment horizontal="left" indent="1"/>
    </xf>
    <xf numFmtId="0" fontId="11" fillId="0" borderId="0" xfId="0" applyFont="1" applyProtection="1"/>
    <xf numFmtId="177" fontId="11" fillId="0" borderId="0" xfId="0" applyNumberFormat="1" applyFont="1" applyFill="1" applyProtection="1"/>
    <xf numFmtId="0" fontId="11" fillId="0" borderId="0" xfId="0" applyFont="1" applyAlignment="1" applyProtection="1">
      <alignment horizontal="center"/>
    </xf>
    <xf numFmtId="0" fontId="9" fillId="0" borderId="0" xfId="0" applyFont="1" applyProtection="1"/>
    <xf numFmtId="0" fontId="0" fillId="0" borderId="0" xfId="0" applyAlignment="1" applyProtection="1">
      <alignment horizontal="left" indent="1"/>
    </xf>
    <xf numFmtId="177" fontId="8" fillId="2" borderId="1" xfId="0" applyNumberFormat="1" applyFont="1" applyFill="1" applyBorder="1" applyAlignment="1" applyProtection="1">
      <alignment horizontal="right" vertical="center"/>
    </xf>
    <xf numFmtId="0" fontId="0" fillId="4" borderId="0" xfId="0" applyFill="1" applyProtection="1"/>
    <xf numFmtId="178" fontId="0" fillId="4" borderId="0" xfId="0" applyNumberFormat="1" applyFill="1" applyProtection="1"/>
    <xf numFmtId="0" fontId="0" fillId="4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 indent="1"/>
    </xf>
    <xf numFmtId="177" fontId="8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15" fillId="0" borderId="0" xfId="0" applyFont="1" applyFill="1" applyAlignment="1" applyProtection="1">
      <alignment horizontal="right"/>
    </xf>
    <xf numFmtId="0" fontId="15" fillId="0" borderId="0" xfId="0" applyFont="1" applyFill="1" applyAlignment="1" applyProtection="1">
      <alignment horizontal="left"/>
    </xf>
    <xf numFmtId="178" fontId="6" fillId="0" borderId="0" xfId="0" applyNumberFormat="1" applyFont="1" applyFill="1" applyBorder="1" applyProtection="1"/>
    <xf numFmtId="0" fontId="11" fillId="0" borderId="0" xfId="0" applyFont="1" applyAlignment="1" applyProtection="1">
      <alignment horizontal="left" indent="1"/>
    </xf>
    <xf numFmtId="0" fontId="15" fillId="0" borderId="0" xfId="0" applyFont="1" applyAlignment="1" applyProtection="1">
      <alignment horizontal="left"/>
    </xf>
    <xf numFmtId="178" fontId="6" fillId="2" borderId="1" xfId="0" applyNumberFormat="1" applyFont="1" applyFill="1" applyBorder="1" applyProtection="1"/>
    <xf numFmtId="0" fontId="11" fillId="0" borderId="0" xfId="0" applyFont="1" applyFill="1" applyProtection="1"/>
    <xf numFmtId="177" fontId="11" fillId="0" borderId="0" xfId="0" applyNumberFormat="1" applyFont="1" applyFill="1" applyBorder="1" applyProtection="1"/>
    <xf numFmtId="0" fontId="9" fillId="0" borderId="0" xfId="0" applyFont="1" applyAlignment="1" applyProtection="1">
      <alignment horizontal="left"/>
    </xf>
    <xf numFmtId="0" fontId="11" fillId="2" borderId="0" xfId="0" applyFont="1" applyFill="1" applyProtection="1"/>
    <xf numFmtId="0" fontId="11" fillId="0" borderId="0" xfId="0" applyFont="1" applyFill="1" applyAlignment="1" applyProtection="1">
      <alignment horizontal="left" indent="1"/>
    </xf>
    <xf numFmtId="178" fontId="11" fillId="2" borderId="0" xfId="0" applyNumberFormat="1" applyFont="1" applyFill="1" applyProtection="1"/>
    <xf numFmtId="0" fontId="11" fillId="0" borderId="0" xfId="0" applyFont="1" applyFill="1" applyAlignment="1" applyProtection="1">
      <alignment horizontal="right" indent="1"/>
    </xf>
    <xf numFmtId="178" fontId="6" fillId="2" borderId="0" xfId="0" applyNumberFormat="1" applyFont="1" applyFill="1" applyProtection="1"/>
    <xf numFmtId="0" fontId="11" fillId="0" borderId="0" xfId="0" applyFont="1" applyAlignment="1" applyProtection="1">
      <alignment horizontal="right"/>
    </xf>
    <xf numFmtId="0" fontId="9" fillId="0" borderId="1" xfId="0" applyFont="1" applyBorder="1" applyAlignment="1" applyProtection="1">
      <alignment horizontal="left" indent="1"/>
    </xf>
    <xf numFmtId="0" fontId="10" fillId="0" borderId="27" xfId="0" applyFont="1" applyBorder="1" applyAlignment="1" applyProtection="1">
      <alignment horizontal="left" indent="1"/>
    </xf>
    <xf numFmtId="178" fontId="6" fillId="2" borderId="28" xfId="0" applyNumberFormat="1" applyFont="1" applyFill="1" applyBorder="1" applyProtection="1"/>
    <xf numFmtId="0" fontId="15" fillId="0" borderId="0" xfId="0" applyFont="1" applyAlignment="1" applyProtection="1">
      <alignment horizontal="right"/>
    </xf>
    <xf numFmtId="178" fontId="11" fillId="0" borderId="0" xfId="0" applyNumberFormat="1" applyFont="1" applyProtection="1"/>
    <xf numFmtId="0" fontId="6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center"/>
    </xf>
    <xf numFmtId="177" fontId="6" fillId="2" borderId="0" xfId="0" applyNumberFormat="1" applyFont="1" applyFill="1" applyProtection="1"/>
    <xf numFmtId="0" fontId="15" fillId="0" borderId="0" xfId="0" applyFont="1" applyAlignment="1" applyProtection="1">
      <alignment horizontal="right" indent="1"/>
    </xf>
    <xf numFmtId="180" fontId="6" fillId="2" borderId="0" xfId="0" applyNumberFormat="1" applyFont="1" applyFill="1" applyProtection="1"/>
    <xf numFmtId="0" fontId="11" fillId="0" borderId="29" xfId="0" applyFont="1" applyBorder="1" applyAlignment="1" applyProtection="1">
      <alignment horizontal="center"/>
    </xf>
    <xf numFmtId="178" fontId="6" fillId="2" borderId="30" xfId="0" applyNumberFormat="1" applyFont="1" applyFill="1" applyBorder="1" applyProtection="1"/>
    <xf numFmtId="0" fontId="7" fillId="0" borderId="0" xfId="0" applyFont="1" applyFill="1" applyProtection="1"/>
    <xf numFmtId="0" fontId="11" fillId="0" borderId="31" xfId="0" applyFont="1" applyBorder="1" applyAlignment="1" applyProtection="1">
      <alignment horizontal="center"/>
    </xf>
    <xf numFmtId="178" fontId="6" fillId="2" borderId="0" xfId="0" applyNumberFormat="1" applyFont="1" applyFill="1" applyBorder="1" applyProtection="1"/>
    <xf numFmtId="178" fontId="6" fillId="2" borderId="32" xfId="0" applyNumberFormat="1" applyFont="1" applyFill="1" applyBorder="1" applyProtection="1"/>
    <xf numFmtId="0" fontId="11" fillId="0" borderId="33" xfId="0" applyFont="1" applyBorder="1" applyAlignment="1" applyProtection="1">
      <alignment horizontal="center"/>
    </xf>
    <xf numFmtId="178" fontId="6" fillId="2" borderId="34" xfId="0" applyNumberFormat="1" applyFont="1" applyFill="1" applyBorder="1" applyProtection="1"/>
    <xf numFmtId="0" fontId="18" fillId="0" borderId="1" xfId="0" applyFont="1" applyBorder="1" applyAlignment="1" applyProtection="1">
      <alignment horizontal="left" indent="1"/>
    </xf>
    <xf numFmtId="0" fontId="6" fillId="0" borderId="27" xfId="0" applyFont="1" applyBorder="1" applyAlignment="1" applyProtection="1">
      <alignment horizontal="left" indent="1"/>
    </xf>
    <xf numFmtId="0" fontId="10" fillId="4" borderId="1" xfId="0" applyFont="1" applyFill="1" applyBorder="1" applyAlignment="1" applyProtection="1">
      <alignment horizontal="center"/>
    </xf>
    <xf numFmtId="0" fontId="11" fillId="4" borderId="1" xfId="0" applyFont="1" applyFill="1" applyBorder="1" applyAlignment="1" applyProtection="1">
      <alignment horizontal="right" indent="1"/>
    </xf>
    <xf numFmtId="0" fontId="3" fillId="0" borderId="0" xfId="0" applyFont="1" applyFill="1" applyProtection="1"/>
    <xf numFmtId="178" fontId="6" fillId="2" borderId="35" xfId="0" applyNumberFormat="1" applyFont="1" applyFill="1" applyBorder="1" applyProtection="1"/>
    <xf numFmtId="0" fontId="0" fillId="4" borderId="1" xfId="0" applyFill="1" applyBorder="1" applyAlignment="1" applyProtection="1">
      <alignment horizontal="center"/>
    </xf>
    <xf numFmtId="0" fontId="0" fillId="4" borderId="1" xfId="0" applyFill="1" applyBorder="1" applyProtection="1"/>
    <xf numFmtId="3" fontId="6" fillId="2" borderId="0" xfId="0" applyNumberFormat="1" applyFont="1" applyFill="1" applyProtection="1"/>
    <xf numFmtId="178" fontId="6" fillId="0" borderId="0" xfId="0" applyNumberFormat="1" applyFont="1" applyFill="1" applyProtection="1"/>
    <xf numFmtId="0" fontId="0" fillId="0" borderId="1" xfId="0" applyBorder="1" applyAlignment="1" applyProtection="1">
      <alignment horizontal="center"/>
    </xf>
    <xf numFmtId="177" fontId="6" fillId="2" borderId="0" xfId="0" applyNumberFormat="1" applyFont="1" applyFill="1" applyBorder="1" applyProtection="1"/>
    <xf numFmtId="0" fontId="33" fillId="0" borderId="0" xfId="0" applyFont="1" applyAlignment="1" applyProtection="1">
      <alignment horizontal="left" indent="1"/>
    </xf>
    <xf numFmtId="0" fontId="16" fillId="0" borderId="0" xfId="0" applyFont="1" applyAlignment="1" applyProtection="1">
      <alignment horizontal="left" indent="1"/>
    </xf>
    <xf numFmtId="0" fontId="6" fillId="2" borderId="0" xfId="0" applyFont="1" applyFill="1" applyProtection="1"/>
    <xf numFmtId="0" fontId="13" fillId="0" borderId="0" xfId="0" applyFont="1" applyFill="1" applyProtection="1"/>
    <xf numFmtId="177" fontId="0" fillId="4" borderId="1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left" indent="1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177" fontId="0" fillId="0" borderId="0" xfId="0" applyNumberFormat="1" applyProtection="1"/>
    <xf numFmtId="0" fontId="0" fillId="0" borderId="0" xfId="0" applyBorder="1" applyAlignment="1" applyProtection="1">
      <alignment horizontal="right"/>
    </xf>
    <xf numFmtId="181" fontId="1" fillId="0" borderId="0" xfId="1" applyNumberFormat="1" applyFill="1" applyBorder="1" applyProtection="1"/>
    <xf numFmtId="0" fontId="11" fillId="0" borderId="1" xfId="0" applyFont="1" applyBorder="1" applyAlignment="1" applyProtection="1">
      <alignment horizontal="left" indent="1"/>
    </xf>
    <xf numFmtId="0" fontId="7" fillId="0" borderId="0" xfId="0" applyFont="1" applyProtection="1"/>
    <xf numFmtId="0" fontId="6" fillId="0" borderId="1" xfId="0" applyFont="1" applyBorder="1" applyAlignment="1" applyProtection="1">
      <alignment horizontal="left" indent="1"/>
    </xf>
    <xf numFmtId="178" fontId="33" fillId="0" borderId="0" xfId="0" applyNumberFormat="1" applyFont="1" applyProtection="1"/>
    <xf numFmtId="177" fontId="6" fillId="0" borderId="0" xfId="0" applyNumberFormat="1" applyFont="1" applyFill="1" applyProtection="1"/>
    <xf numFmtId="0" fontId="18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 indent="1"/>
    </xf>
    <xf numFmtId="0" fontId="5" fillId="0" borderId="0" xfId="0" applyFont="1" applyProtection="1"/>
    <xf numFmtId="0" fontId="20" fillId="0" borderId="0" xfId="0" applyFont="1" applyProtection="1"/>
    <xf numFmtId="0" fontId="15" fillId="0" borderId="1" xfId="0" applyFont="1" applyBorder="1" applyAlignment="1" applyProtection="1">
      <alignment horizontal="left" indent="1"/>
    </xf>
    <xf numFmtId="0" fontId="28" fillId="0" borderId="1" xfId="0" applyFont="1" applyBorder="1" applyAlignment="1" applyProtection="1">
      <alignment horizontal="left" indent="1"/>
    </xf>
    <xf numFmtId="1" fontId="15" fillId="2" borderId="1" xfId="0" applyNumberFormat="1" applyFont="1" applyFill="1" applyBorder="1" applyProtection="1"/>
    <xf numFmtId="0" fontId="15" fillId="0" borderId="0" xfId="0" applyFont="1" applyProtection="1"/>
    <xf numFmtId="0" fontId="4" fillId="0" borderId="0" xfId="0" applyFont="1" applyAlignment="1" applyProtection="1">
      <alignment horizontal="left"/>
    </xf>
    <xf numFmtId="0" fontId="0" fillId="0" borderId="1" xfId="0" applyBorder="1" applyAlignment="1" applyProtection="1">
      <alignment horizontal="left" indent="1"/>
    </xf>
    <xf numFmtId="0" fontId="6" fillId="0" borderId="1" xfId="0" applyFont="1" applyBorder="1" applyAlignment="1" applyProtection="1">
      <alignment horizontal="right" indent="1"/>
    </xf>
    <xf numFmtId="0" fontId="11" fillId="4" borderId="1" xfId="0" applyFont="1" applyFill="1" applyBorder="1" applyProtection="1"/>
    <xf numFmtId="0" fontId="11" fillId="0" borderId="0" xfId="0" applyFont="1" applyBorder="1" applyAlignment="1" applyProtection="1">
      <alignment horizontal="right"/>
    </xf>
    <xf numFmtId="0" fontId="11" fillId="0" borderId="0" xfId="0" applyFont="1" applyFill="1" applyBorder="1" applyProtection="1"/>
    <xf numFmtId="0" fontId="0" fillId="0" borderId="0" xfId="0" applyFill="1" applyBorder="1" applyProtection="1"/>
    <xf numFmtId="0" fontId="11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right"/>
    </xf>
    <xf numFmtId="0" fontId="0" fillId="0" borderId="5" xfId="0" applyBorder="1" applyAlignment="1" applyProtection="1">
      <alignment horizontal="left" indent="1"/>
    </xf>
    <xf numFmtId="0" fontId="0" fillId="0" borderId="36" xfId="0" applyBorder="1" applyAlignment="1" applyProtection="1">
      <alignment horizontal="right" indent="1"/>
    </xf>
    <xf numFmtId="0" fontId="0" fillId="0" borderId="4" xfId="0" applyBorder="1" applyAlignment="1" applyProtection="1">
      <alignment horizontal="left" indent="1"/>
    </xf>
    <xf numFmtId="0" fontId="0" fillId="0" borderId="4" xfId="0" applyBorder="1" applyProtection="1"/>
    <xf numFmtId="0" fontId="0" fillId="0" borderId="14" xfId="0" applyBorder="1" applyProtection="1"/>
    <xf numFmtId="178" fontId="0" fillId="4" borderId="1" xfId="0" applyNumberForma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left" indent="1"/>
    </xf>
    <xf numFmtId="11" fontId="0" fillId="0" borderId="0" xfId="0" applyNumberFormat="1" applyFill="1" applyBorder="1" applyProtection="1"/>
    <xf numFmtId="177" fontId="9" fillId="0" borderId="0" xfId="0" applyNumberFormat="1" applyFont="1" applyFill="1" applyAlignment="1" applyProtection="1">
      <alignment horizontal="left" indent="1"/>
    </xf>
    <xf numFmtId="0" fontId="0" fillId="0" borderId="1" xfId="0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horizontal="left" indent="1"/>
    </xf>
    <xf numFmtId="179" fontId="1" fillId="2" borderId="1" xfId="1" applyNumberFormat="1" applyFill="1" applyBorder="1" applyProtection="1"/>
    <xf numFmtId="0" fontId="30" fillId="0" borderId="0" xfId="0" applyFont="1" applyProtection="1"/>
    <xf numFmtId="183" fontId="1" fillId="2" borderId="1" xfId="1" applyNumberFormat="1" applyFill="1" applyBorder="1" applyAlignment="1" applyProtection="1">
      <alignment horizontal="center"/>
    </xf>
    <xf numFmtId="3" fontId="1" fillId="2" borderId="1" xfId="1" applyNumberFormat="1" applyFill="1" applyBorder="1" applyAlignment="1" applyProtection="1">
      <alignment horizontal="center"/>
    </xf>
    <xf numFmtId="0" fontId="15" fillId="0" borderId="0" xfId="0" applyFont="1" applyAlignment="1" applyProtection="1">
      <alignment horizontal="left" indent="1"/>
    </xf>
    <xf numFmtId="178" fontId="0" fillId="2" borderId="1" xfId="0" applyNumberFormat="1" applyFill="1" applyBorder="1" applyAlignment="1" applyProtection="1">
      <alignment horizontal="right" indent="1"/>
    </xf>
    <xf numFmtId="0" fontId="6" fillId="0" borderId="0" xfId="0" applyFont="1" applyProtection="1"/>
    <xf numFmtId="177" fontId="1" fillId="2" borderId="1" xfId="1" applyNumberFormat="1" applyFont="1" applyFill="1" applyBorder="1" applyAlignment="1" applyProtection="1">
      <alignment horizontal="right" indent="1"/>
    </xf>
    <xf numFmtId="177" fontId="1" fillId="2" borderId="1" xfId="1" applyNumberFormat="1" applyFill="1" applyBorder="1" applyAlignment="1" applyProtection="1">
      <alignment horizontal="right" indent="1"/>
    </xf>
    <xf numFmtId="0" fontId="22" fillId="0" borderId="0" xfId="0" applyFont="1" applyAlignment="1" applyProtection="1">
      <alignment horizontal="left" indent="1"/>
    </xf>
    <xf numFmtId="1" fontId="1" fillId="2" borderId="1" xfId="1" applyNumberFormat="1" applyFont="1" applyFill="1" applyBorder="1" applyAlignment="1" applyProtection="1">
      <alignment horizontal="right" indent="1"/>
    </xf>
    <xf numFmtId="176" fontId="0" fillId="0" borderId="1" xfId="0" applyNumberFormat="1" applyBorder="1" applyAlignment="1" applyProtection="1">
      <alignment horizontal="center"/>
    </xf>
    <xf numFmtId="183" fontId="1" fillId="2" borderId="1" xfId="1" applyNumberFormat="1" applyFill="1" applyBorder="1" applyAlignment="1" applyProtection="1">
      <alignment horizontal="right" indent="1"/>
    </xf>
    <xf numFmtId="3" fontId="1" fillId="2" borderId="1" xfId="1" applyNumberFormat="1" applyFill="1" applyBorder="1" applyAlignment="1" applyProtection="1">
      <alignment horizontal="right" indent="1"/>
    </xf>
    <xf numFmtId="182" fontId="1" fillId="2" borderId="1" xfId="1" applyNumberFormat="1" applyFill="1" applyBorder="1" applyAlignment="1" applyProtection="1">
      <alignment horizontal="right" indent="1"/>
    </xf>
    <xf numFmtId="0" fontId="0" fillId="0" borderId="1" xfId="0" applyBorder="1" applyAlignment="1" applyProtection="1">
      <alignment horizontal="center"/>
    </xf>
    <xf numFmtId="0" fontId="0" fillId="0" borderId="29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19" fillId="0" borderId="0" xfId="0" applyFont="1" applyAlignment="1" applyProtection="1">
      <alignment horizontal="center"/>
    </xf>
    <xf numFmtId="0" fontId="31" fillId="0" borderId="29" xfId="0" applyFont="1" applyFill="1" applyBorder="1" applyAlignment="1" applyProtection="1">
      <alignment horizontal="center" vertical="center" wrapText="1"/>
    </xf>
    <xf numFmtId="0" fontId="31" fillId="0" borderId="32" xfId="0" applyFont="1" applyFill="1" applyBorder="1" applyAlignment="1" applyProtection="1">
      <alignment horizontal="center" vertical="center" wrapText="1"/>
    </xf>
    <xf numFmtId="0" fontId="31" fillId="0" borderId="31" xfId="0" applyFont="1" applyFill="1" applyBorder="1" applyAlignment="1" applyProtection="1">
      <alignment horizontal="center" vertical="center" wrapText="1"/>
    </xf>
    <xf numFmtId="0" fontId="31" fillId="0" borderId="37" xfId="0" applyFont="1" applyFill="1" applyBorder="1" applyAlignment="1" applyProtection="1">
      <alignment horizontal="center" vertical="center" wrapText="1"/>
    </xf>
    <xf numFmtId="0" fontId="31" fillId="0" borderId="33" xfId="0" applyFont="1" applyFill="1" applyBorder="1" applyAlignment="1" applyProtection="1">
      <alignment horizontal="center" vertical="center" wrapText="1"/>
    </xf>
    <xf numFmtId="0" fontId="31" fillId="0" borderId="34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70072905136075E-2"/>
          <c:y val="7.9602376799483052E-2"/>
          <c:w val="0.92791924171123574"/>
          <c:h val="0.7512474310451212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Picture!$B$16:$B$132</c:f>
              <c:numCache>
                <c:formatCode>0.00</c:formatCode>
                <c:ptCount val="117"/>
                <c:pt idx="8">
                  <c:v>-4</c:v>
                </c:pt>
                <c:pt idx="9">
                  <c:v>4</c:v>
                </c:pt>
                <c:pt idx="10">
                  <c:v>8.5</c:v>
                </c:pt>
                <c:pt idx="11">
                  <c:v>8.5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9.5</c:v>
                </c:pt>
                <c:pt idx="17">
                  <c:v>9.5</c:v>
                </c:pt>
                <c:pt idx="18">
                  <c:v>-9.5</c:v>
                </c:pt>
                <c:pt idx="19">
                  <c:v>-9.5</c:v>
                </c:pt>
                <c:pt idx="20">
                  <c:v>-11.5</c:v>
                </c:pt>
                <c:pt idx="21">
                  <c:v>-11.5</c:v>
                </c:pt>
                <c:pt idx="22">
                  <c:v>-11.5</c:v>
                </c:pt>
                <c:pt idx="23">
                  <c:v>-11.5</c:v>
                </c:pt>
                <c:pt idx="24">
                  <c:v>-8.5</c:v>
                </c:pt>
                <c:pt idx="25">
                  <c:v>-8.5</c:v>
                </c:pt>
                <c:pt idx="2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A-430B-86F6-375D9619C8E9}"/>
            </c:ext>
          </c:extLst>
        </c:ser>
        <c:ser>
          <c:idx val="1"/>
          <c:order val="1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Picture!$C$16:$C$132</c:f>
              <c:numCache>
                <c:formatCode>0.00</c:formatCode>
                <c:ptCount val="117"/>
                <c:pt idx="0">
                  <c:v>0</c:v>
                </c:pt>
                <c:pt idx="1">
                  <c:v>0</c:v>
                </c:pt>
                <c:pt idx="28">
                  <c:v>9.5</c:v>
                </c:pt>
                <c:pt idx="29">
                  <c:v>-9.5</c:v>
                </c:pt>
                <c:pt idx="31">
                  <c:v>8.5</c:v>
                </c:pt>
                <c:pt idx="32">
                  <c:v>-8.5</c:v>
                </c:pt>
                <c:pt idx="34">
                  <c:v>14</c:v>
                </c:pt>
                <c:pt idx="35">
                  <c:v>14</c:v>
                </c:pt>
                <c:pt idx="36">
                  <c:v>-14</c:v>
                </c:pt>
                <c:pt idx="37">
                  <c:v>-14</c:v>
                </c:pt>
                <c:pt idx="38">
                  <c:v>14</c:v>
                </c:pt>
                <c:pt idx="91">
                  <c:v>60</c:v>
                </c:pt>
                <c:pt idx="92">
                  <c:v>60</c:v>
                </c:pt>
                <c:pt idx="94">
                  <c:v>-60</c:v>
                </c:pt>
                <c:pt idx="95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A-430B-86F6-375D9619C8E9}"/>
            </c:ext>
          </c:extLst>
        </c:ser>
        <c:ser>
          <c:idx val="2"/>
          <c:order val="2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Picture!$D$16:$D$132</c:f>
              <c:numCache>
                <c:formatCode>0.00</c:formatCode>
                <c:ptCount val="117"/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-4</c:v>
                </c:pt>
                <c:pt idx="40">
                  <c:v>11.5</c:v>
                </c:pt>
                <c:pt idx="41">
                  <c:v>45</c:v>
                </c:pt>
                <c:pt idx="42">
                  <c:v>45</c:v>
                </c:pt>
                <c:pt idx="43">
                  <c:v>-45</c:v>
                </c:pt>
                <c:pt idx="44">
                  <c:v>-45</c:v>
                </c:pt>
                <c:pt idx="45">
                  <c:v>-11.5</c:v>
                </c:pt>
                <c:pt idx="47">
                  <c:v>11.5</c:v>
                </c:pt>
                <c:pt idx="48">
                  <c:v>11.5</c:v>
                </c:pt>
                <c:pt idx="50">
                  <c:v>-11.5</c:v>
                </c:pt>
                <c:pt idx="51">
                  <c:v>-11.5</c:v>
                </c:pt>
                <c:pt idx="53">
                  <c:v>9.5</c:v>
                </c:pt>
                <c:pt idx="54">
                  <c:v>9.5</c:v>
                </c:pt>
                <c:pt idx="56">
                  <c:v>-9.5</c:v>
                </c:pt>
                <c:pt idx="57">
                  <c:v>-9.5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A-430B-86F6-375D9619C8E9}"/>
            </c:ext>
          </c:extLst>
        </c:ser>
        <c:ser>
          <c:idx val="3"/>
          <c:order val="3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Picture!$E$16:$E$132</c:f>
              <c:numCache>
                <c:formatCode>0.00</c:formatCode>
                <c:ptCount val="117"/>
                <c:pt idx="59">
                  <c:v>13</c:v>
                </c:pt>
                <c:pt idx="60">
                  <c:v>60</c:v>
                </c:pt>
                <c:pt idx="61">
                  <c:v>60</c:v>
                </c:pt>
                <c:pt idx="62">
                  <c:v>25.370206489675514</c:v>
                </c:pt>
                <c:pt idx="63">
                  <c:v>42.099999999999994</c:v>
                </c:pt>
                <c:pt idx="64">
                  <c:v>60</c:v>
                </c:pt>
                <c:pt idx="65">
                  <c:v>60</c:v>
                </c:pt>
                <c:pt idx="66">
                  <c:v>39.674999999999997</c:v>
                </c:pt>
                <c:pt idx="67">
                  <c:v>17.600000000000001</c:v>
                </c:pt>
                <c:pt idx="68">
                  <c:v>13</c:v>
                </c:pt>
                <c:pt idx="70">
                  <c:v>17.600000000000001</c:v>
                </c:pt>
                <c:pt idx="71">
                  <c:v>23.932121291722723</c:v>
                </c:pt>
                <c:pt idx="72">
                  <c:v>55.5</c:v>
                </c:pt>
                <c:pt idx="73">
                  <c:v>55.5</c:v>
                </c:pt>
                <c:pt idx="75">
                  <c:v>-13</c:v>
                </c:pt>
                <c:pt idx="76">
                  <c:v>-60</c:v>
                </c:pt>
                <c:pt idx="77">
                  <c:v>-60</c:v>
                </c:pt>
                <c:pt idx="78">
                  <c:v>-25.370206489675514</c:v>
                </c:pt>
                <c:pt idx="79">
                  <c:v>-42.099999999999994</c:v>
                </c:pt>
                <c:pt idx="80">
                  <c:v>-60</c:v>
                </c:pt>
                <c:pt idx="81">
                  <c:v>-60</c:v>
                </c:pt>
                <c:pt idx="82">
                  <c:v>-39.674999999999997</c:v>
                </c:pt>
                <c:pt idx="83">
                  <c:v>-17.600000000000001</c:v>
                </c:pt>
                <c:pt idx="84">
                  <c:v>-13</c:v>
                </c:pt>
                <c:pt idx="86">
                  <c:v>-17.600000000000001</c:v>
                </c:pt>
                <c:pt idx="87">
                  <c:v>-23.932121291722723</c:v>
                </c:pt>
                <c:pt idx="88">
                  <c:v>-55.5</c:v>
                </c:pt>
                <c:pt idx="89">
                  <c:v>-55.5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A-430B-86F6-375D9619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97064"/>
        <c:axId val="1"/>
      </c:scatterChart>
      <c:valAx>
        <c:axId val="266397064"/>
        <c:scaling>
          <c:orientation val="minMax"/>
          <c:max val="95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At val="-80"/>
        <c:crossBetween val="midCat"/>
        <c:majorUnit val="50"/>
        <c:minorUnit val="10"/>
      </c:valAx>
      <c:valAx>
        <c:axId val="1"/>
        <c:scaling>
          <c:orientation val="minMax"/>
          <c:max val="80"/>
          <c:min val="-8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66397064"/>
        <c:crossesAt val="-50"/>
        <c:crossBetween val="midCat"/>
        <c:majorUnit val="20"/>
        <c:minorUnit val="1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0.78740157480314965" l="0.78740157480314965" r="0.78740157480314965" t="0.59055118110236227" header="0" footer="0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19659989936501E-2"/>
          <c:y val="6.8376353734115145E-2"/>
          <c:w val="0.92265893358836037"/>
          <c:h val="0.7820545458339419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Picture!$B$16:$B$132</c:f>
              <c:numCache>
                <c:formatCode>0.00</c:formatCode>
                <c:ptCount val="117"/>
                <c:pt idx="8">
                  <c:v>-4</c:v>
                </c:pt>
                <c:pt idx="9">
                  <c:v>4</c:v>
                </c:pt>
                <c:pt idx="10">
                  <c:v>8.5</c:v>
                </c:pt>
                <c:pt idx="11">
                  <c:v>8.5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9.5</c:v>
                </c:pt>
                <c:pt idx="17">
                  <c:v>9.5</c:v>
                </c:pt>
                <c:pt idx="18">
                  <c:v>-9.5</c:v>
                </c:pt>
                <c:pt idx="19">
                  <c:v>-9.5</c:v>
                </c:pt>
                <c:pt idx="20">
                  <c:v>-11.5</c:v>
                </c:pt>
                <c:pt idx="21">
                  <c:v>-11.5</c:v>
                </c:pt>
                <c:pt idx="22">
                  <c:v>-11.5</c:v>
                </c:pt>
                <c:pt idx="23">
                  <c:v>-11.5</c:v>
                </c:pt>
                <c:pt idx="24">
                  <c:v>-8.5</c:v>
                </c:pt>
                <c:pt idx="25">
                  <c:v>-8.5</c:v>
                </c:pt>
                <c:pt idx="2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D-4344-A976-5524C7F9AF80}"/>
            </c:ext>
          </c:extLst>
        </c:ser>
        <c:ser>
          <c:idx val="1"/>
          <c:order val="1"/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Picture!$C$16:$C$132</c:f>
              <c:numCache>
                <c:formatCode>0.00</c:formatCode>
                <c:ptCount val="117"/>
                <c:pt idx="0">
                  <c:v>0</c:v>
                </c:pt>
                <c:pt idx="1">
                  <c:v>0</c:v>
                </c:pt>
                <c:pt idx="28">
                  <c:v>9.5</c:v>
                </c:pt>
                <c:pt idx="29">
                  <c:v>-9.5</c:v>
                </c:pt>
                <c:pt idx="31">
                  <c:v>8.5</c:v>
                </c:pt>
                <c:pt idx="32">
                  <c:v>-8.5</c:v>
                </c:pt>
                <c:pt idx="34">
                  <c:v>14</c:v>
                </c:pt>
                <c:pt idx="35">
                  <c:v>14</c:v>
                </c:pt>
                <c:pt idx="36">
                  <c:v>-14</c:v>
                </c:pt>
                <c:pt idx="37">
                  <c:v>-14</c:v>
                </c:pt>
                <c:pt idx="38">
                  <c:v>14</c:v>
                </c:pt>
                <c:pt idx="91">
                  <c:v>60</c:v>
                </c:pt>
                <c:pt idx="92">
                  <c:v>60</c:v>
                </c:pt>
                <c:pt idx="94">
                  <c:v>-60</c:v>
                </c:pt>
                <c:pt idx="95">
                  <c:v>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D-4344-A976-5524C7F9AF80}"/>
            </c:ext>
          </c:extLst>
        </c:ser>
        <c:ser>
          <c:idx val="2"/>
          <c:order val="2"/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Picture!$D$16:$D$132</c:f>
              <c:numCache>
                <c:formatCode>0.00</c:formatCode>
                <c:ptCount val="117"/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-4</c:v>
                </c:pt>
                <c:pt idx="40">
                  <c:v>11.5</c:v>
                </c:pt>
                <c:pt idx="41">
                  <c:v>45</c:v>
                </c:pt>
                <c:pt idx="42">
                  <c:v>45</c:v>
                </c:pt>
                <c:pt idx="43">
                  <c:v>-45</c:v>
                </c:pt>
                <c:pt idx="44">
                  <c:v>-45</c:v>
                </c:pt>
                <c:pt idx="45">
                  <c:v>-11.5</c:v>
                </c:pt>
                <c:pt idx="47">
                  <c:v>11.5</c:v>
                </c:pt>
                <c:pt idx="48">
                  <c:v>11.5</c:v>
                </c:pt>
                <c:pt idx="50">
                  <c:v>-11.5</c:v>
                </c:pt>
                <c:pt idx="51">
                  <c:v>-11.5</c:v>
                </c:pt>
                <c:pt idx="53">
                  <c:v>9.5</c:v>
                </c:pt>
                <c:pt idx="54">
                  <c:v>9.5</c:v>
                </c:pt>
                <c:pt idx="56">
                  <c:v>-9.5</c:v>
                </c:pt>
                <c:pt idx="57">
                  <c:v>-9.5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D-4344-A976-5524C7F9AF80}"/>
            </c:ext>
          </c:extLst>
        </c:ser>
        <c:ser>
          <c:idx val="3"/>
          <c:order val="3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Picture!$A$16:$A$132</c:f>
              <c:numCache>
                <c:formatCode>0.00</c:formatCode>
                <c:ptCount val="117"/>
                <c:pt idx="0">
                  <c:v>0</c:v>
                </c:pt>
                <c:pt idx="1">
                  <c:v>950</c:v>
                </c:pt>
                <c:pt idx="3">
                  <c:v>724</c:v>
                </c:pt>
                <c:pt idx="4">
                  <c:v>740</c:v>
                </c:pt>
                <c:pt idx="5">
                  <c:v>740</c:v>
                </c:pt>
                <c:pt idx="6">
                  <c:v>724</c:v>
                </c:pt>
                <c:pt idx="8">
                  <c:v>724</c:v>
                </c:pt>
                <c:pt idx="9">
                  <c:v>724</c:v>
                </c:pt>
                <c:pt idx="10">
                  <c:v>696</c:v>
                </c:pt>
                <c:pt idx="11">
                  <c:v>568.63457334817917</c:v>
                </c:pt>
                <c:pt idx="12">
                  <c:v>568.63457334817917</c:v>
                </c:pt>
                <c:pt idx="13">
                  <c:v>157.2934093919913</c:v>
                </c:pt>
                <c:pt idx="14">
                  <c:v>157.2934093919913</c:v>
                </c:pt>
                <c:pt idx="15">
                  <c:v>116.5</c:v>
                </c:pt>
                <c:pt idx="16">
                  <c:v>116.5</c:v>
                </c:pt>
                <c:pt idx="17">
                  <c:v>42</c:v>
                </c:pt>
                <c:pt idx="18">
                  <c:v>42</c:v>
                </c:pt>
                <c:pt idx="19">
                  <c:v>116.5</c:v>
                </c:pt>
                <c:pt idx="20">
                  <c:v>116.5</c:v>
                </c:pt>
                <c:pt idx="21">
                  <c:v>157.2934093919913</c:v>
                </c:pt>
                <c:pt idx="22">
                  <c:v>157.2934093919913</c:v>
                </c:pt>
                <c:pt idx="23">
                  <c:v>568.63457334817917</c:v>
                </c:pt>
                <c:pt idx="24">
                  <c:v>568.63457334817917</c:v>
                </c:pt>
                <c:pt idx="25">
                  <c:v>696</c:v>
                </c:pt>
                <c:pt idx="26">
                  <c:v>724</c:v>
                </c:pt>
                <c:pt idx="28">
                  <c:v>116.5</c:v>
                </c:pt>
                <c:pt idx="29">
                  <c:v>116.5</c:v>
                </c:pt>
                <c:pt idx="31">
                  <c:v>696</c:v>
                </c:pt>
                <c:pt idx="32">
                  <c:v>696</c:v>
                </c:pt>
                <c:pt idx="34">
                  <c:v>568.63457334817917</c:v>
                </c:pt>
                <c:pt idx="35">
                  <c:v>157.2934093919913</c:v>
                </c:pt>
                <c:pt idx="36">
                  <c:v>157.2934093919913</c:v>
                </c:pt>
                <c:pt idx="37">
                  <c:v>568.63457334817917</c:v>
                </c:pt>
                <c:pt idx="38">
                  <c:v>568.63457334817917</c:v>
                </c:pt>
                <c:pt idx="40">
                  <c:v>116.5</c:v>
                </c:pt>
                <c:pt idx="41">
                  <c:v>25.746500000000001</c:v>
                </c:pt>
                <c:pt idx="42">
                  <c:v>0</c:v>
                </c:pt>
                <c:pt idx="43">
                  <c:v>0</c:v>
                </c:pt>
                <c:pt idx="44">
                  <c:v>25.746500000000001</c:v>
                </c:pt>
                <c:pt idx="45">
                  <c:v>116.5</c:v>
                </c:pt>
                <c:pt idx="47">
                  <c:v>0</c:v>
                </c:pt>
                <c:pt idx="48">
                  <c:v>116.5</c:v>
                </c:pt>
                <c:pt idx="50">
                  <c:v>0</c:v>
                </c:pt>
                <c:pt idx="51">
                  <c:v>116.5</c:v>
                </c:pt>
                <c:pt idx="53">
                  <c:v>0</c:v>
                </c:pt>
                <c:pt idx="54">
                  <c:v>42</c:v>
                </c:pt>
                <c:pt idx="56">
                  <c:v>0</c:v>
                </c:pt>
                <c:pt idx="57">
                  <c:v>42</c:v>
                </c:pt>
                <c:pt idx="59">
                  <c:v>568.63457334817917</c:v>
                </c:pt>
                <c:pt idx="60">
                  <c:v>568.63457334817917</c:v>
                </c:pt>
                <c:pt idx="61">
                  <c:v>543.63457334817917</c:v>
                </c:pt>
                <c:pt idx="62">
                  <c:v>507.5047798378547</c:v>
                </c:pt>
                <c:pt idx="63">
                  <c:v>375.88809447493975</c:v>
                </c:pt>
                <c:pt idx="64">
                  <c:v>375.88809447493975</c:v>
                </c:pt>
                <c:pt idx="65">
                  <c:v>333.63457334817917</c:v>
                </c:pt>
                <c:pt idx="66">
                  <c:v>333.63457334817917</c:v>
                </c:pt>
                <c:pt idx="67">
                  <c:v>157.28603247966362</c:v>
                </c:pt>
                <c:pt idx="68">
                  <c:v>157.28603247966362</c:v>
                </c:pt>
                <c:pt idx="70">
                  <c:v>568.63457334817917</c:v>
                </c:pt>
                <c:pt idx="71">
                  <c:v>518.81848833683944</c:v>
                </c:pt>
                <c:pt idx="72">
                  <c:v>548.94828184716391</c:v>
                </c:pt>
                <c:pt idx="73">
                  <c:v>568.63457334817917</c:v>
                </c:pt>
                <c:pt idx="75">
                  <c:v>568.63457334817917</c:v>
                </c:pt>
                <c:pt idx="76">
                  <c:v>568.63457334817917</c:v>
                </c:pt>
                <c:pt idx="77">
                  <c:v>543.63457334817917</c:v>
                </c:pt>
                <c:pt idx="78">
                  <c:v>507.5047798378547</c:v>
                </c:pt>
                <c:pt idx="79">
                  <c:v>375.88809447493975</c:v>
                </c:pt>
                <c:pt idx="80">
                  <c:v>375.88809447493975</c:v>
                </c:pt>
                <c:pt idx="81">
                  <c:v>333.63457334817917</c:v>
                </c:pt>
                <c:pt idx="82">
                  <c:v>333.63457334817917</c:v>
                </c:pt>
                <c:pt idx="83">
                  <c:v>157.28603247966362</c:v>
                </c:pt>
                <c:pt idx="84">
                  <c:v>157.28603247966362</c:v>
                </c:pt>
                <c:pt idx="86">
                  <c:v>568.63457334817917</c:v>
                </c:pt>
                <c:pt idx="87">
                  <c:v>518.81848833683944</c:v>
                </c:pt>
                <c:pt idx="88">
                  <c:v>548.94828184716391</c:v>
                </c:pt>
                <c:pt idx="89">
                  <c:v>568.63457334817917</c:v>
                </c:pt>
                <c:pt idx="91">
                  <c:v>0</c:v>
                </c:pt>
                <c:pt idx="92">
                  <c:v>950</c:v>
                </c:pt>
                <c:pt idx="94">
                  <c:v>0</c:v>
                </c:pt>
                <c:pt idx="95">
                  <c:v>950</c:v>
                </c:pt>
              </c:numCache>
            </c:numRef>
          </c:xVal>
          <c:yVal>
            <c:numRef>
              <c:f>Picture!$E$16:$E$132</c:f>
              <c:numCache>
                <c:formatCode>0.00</c:formatCode>
                <c:ptCount val="117"/>
                <c:pt idx="59">
                  <c:v>13</c:v>
                </c:pt>
                <c:pt idx="60">
                  <c:v>60</c:v>
                </c:pt>
                <c:pt idx="61">
                  <c:v>60</c:v>
                </c:pt>
                <c:pt idx="62">
                  <c:v>25.370206489675514</c:v>
                </c:pt>
                <c:pt idx="63">
                  <c:v>42.099999999999994</c:v>
                </c:pt>
                <c:pt idx="64">
                  <c:v>60</c:v>
                </c:pt>
                <c:pt idx="65">
                  <c:v>60</c:v>
                </c:pt>
                <c:pt idx="66">
                  <c:v>39.674999999999997</c:v>
                </c:pt>
                <c:pt idx="67">
                  <c:v>17.600000000000001</c:v>
                </c:pt>
                <c:pt idx="68">
                  <c:v>13</c:v>
                </c:pt>
                <c:pt idx="70">
                  <c:v>17.600000000000001</c:v>
                </c:pt>
                <c:pt idx="71">
                  <c:v>23.932121291722723</c:v>
                </c:pt>
                <c:pt idx="72">
                  <c:v>55.5</c:v>
                </c:pt>
                <c:pt idx="73">
                  <c:v>55.5</c:v>
                </c:pt>
                <c:pt idx="75">
                  <c:v>-13</c:v>
                </c:pt>
                <c:pt idx="76">
                  <c:v>-60</c:v>
                </c:pt>
                <c:pt idx="77">
                  <c:v>-60</c:v>
                </c:pt>
                <c:pt idx="78">
                  <c:v>-25.370206489675514</c:v>
                </c:pt>
                <c:pt idx="79">
                  <c:v>-42.099999999999994</c:v>
                </c:pt>
                <c:pt idx="80">
                  <c:v>-60</c:v>
                </c:pt>
                <c:pt idx="81">
                  <c:v>-60</c:v>
                </c:pt>
                <c:pt idx="82">
                  <c:v>-39.674999999999997</c:v>
                </c:pt>
                <c:pt idx="83">
                  <c:v>-17.600000000000001</c:v>
                </c:pt>
                <c:pt idx="84">
                  <c:v>-13</c:v>
                </c:pt>
                <c:pt idx="86">
                  <c:v>-17.600000000000001</c:v>
                </c:pt>
                <c:pt idx="87">
                  <c:v>-23.932121291722723</c:v>
                </c:pt>
                <c:pt idx="88">
                  <c:v>-55.5</c:v>
                </c:pt>
                <c:pt idx="89">
                  <c:v>-55.5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D-4344-A976-5524C7F9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9680"/>
        <c:axId val="1"/>
      </c:scatterChart>
      <c:valAx>
        <c:axId val="316109680"/>
        <c:scaling>
          <c:orientation val="minMax"/>
          <c:max val="95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"/>
        <c:crossesAt val="-80"/>
        <c:crossBetween val="midCat"/>
        <c:majorUnit val="50"/>
        <c:minorUnit val="10"/>
      </c:valAx>
      <c:valAx>
        <c:axId val="1"/>
        <c:scaling>
          <c:orientation val="minMax"/>
          <c:max val="80"/>
          <c:min val="-8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316109680"/>
        <c:crossesAt val="0"/>
        <c:crossBetween val="midCat"/>
        <c:majorUnit val="20"/>
        <c:minorUnit val="1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10</xdr:col>
      <xdr:colOff>409575</xdr:colOff>
      <xdr:row>37</xdr:row>
      <xdr:rowOff>95250</xdr:rowOff>
    </xdr:to>
    <xdr:graphicFrame macro="">
      <xdr:nvGraphicFramePr>
        <xdr:cNvPr id="1172" name="Diagramm 2">
          <a:extLst>
            <a:ext uri="{FF2B5EF4-FFF2-40B4-BE49-F238E27FC236}">
              <a16:creationId xmlns:a16="http://schemas.microsoft.com/office/drawing/2014/main" id="{9EFF8DBF-BBDC-46A0-97B2-BFEC7A39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27</xdr:row>
      <xdr:rowOff>0</xdr:rowOff>
    </xdr:from>
    <xdr:to>
      <xdr:col>4</xdr:col>
      <xdr:colOff>76200</xdr:colOff>
      <xdr:row>27</xdr:row>
      <xdr:rowOff>200025</xdr:rowOff>
    </xdr:to>
    <xdr:sp macro="" textlink="">
      <xdr:nvSpPr>
        <xdr:cNvPr id="20079" name="Text Box 1">
          <a:extLst>
            <a:ext uri="{FF2B5EF4-FFF2-40B4-BE49-F238E27FC236}">
              <a16:creationId xmlns:a16="http://schemas.microsoft.com/office/drawing/2014/main" id="{75478963-7120-48B8-A2A9-2D4701E09996}"/>
            </a:ext>
          </a:extLst>
        </xdr:cNvPr>
        <xdr:cNvSpPr txBox="1">
          <a:spLocks noChangeArrowheads="1"/>
        </xdr:cNvSpPr>
      </xdr:nvSpPr>
      <xdr:spPr bwMode="auto">
        <a:xfrm>
          <a:off x="3676650" y="5181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1123950</xdr:colOff>
      <xdr:row>23</xdr:row>
      <xdr:rowOff>0</xdr:rowOff>
    </xdr:from>
    <xdr:to>
      <xdr:col>0</xdr:col>
      <xdr:colOff>1200150</xdr:colOff>
      <xdr:row>24</xdr:row>
      <xdr:rowOff>0</xdr:rowOff>
    </xdr:to>
    <xdr:sp macro="" textlink="">
      <xdr:nvSpPr>
        <xdr:cNvPr id="20080" name="Text Box 3">
          <a:extLst>
            <a:ext uri="{FF2B5EF4-FFF2-40B4-BE49-F238E27FC236}">
              <a16:creationId xmlns:a16="http://schemas.microsoft.com/office/drawing/2014/main" id="{76A21266-FD4D-408E-909A-B9F18BC51FD7}"/>
            </a:ext>
          </a:extLst>
        </xdr:cNvPr>
        <xdr:cNvSpPr txBox="1">
          <a:spLocks noChangeArrowheads="1"/>
        </xdr:cNvSpPr>
      </xdr:nvSpPr>
      <xdr:spPr bwMode="auto">
        <a:xfrm>
          <a:off x="1123950" y="4381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1123950</xdr:colOff>
      <xdr:row>51</xdr:row>
      <xdr:rowOff>0</xdr:rowOff>
    </xdr:from>
    <xdr:to>
      <xdr:col>0</xdr:col>
      <xdr:colOff>1200150</xdr:colOff>
      <xdr:row>52</xdr:row>
      <xdr:rowOff>0</xdr:rowOff>
    </xdr:to>
    <xdr:sp macro="" textlink="">
      <xdr:nvSpPr>
        <xdr:cNvPr id="20081" name="Text Box 4">
          <a:extLst>
            <a:ext uri="{FF2B5EF4-FFF2-40B4-BE49-F238E27FC236}">
              <a16:creationId xmlns:a16="http://schemas.microsoft.com/office/drawing/2014/main" id="{1EC96DED-4A64-4364-8FF8-CD02E76121A1}"/>
            </a:ext>
          </a:extLst>
        </xdr:cNvPr>
        <xdr:cNvSpPr txBox="1">
          <a:spLocks noChangeArrowheads="1"/>
        </xdr:cNvSpPr>
      </xdr:nvSpPr>
      <xdr:spPr bwMode="auto">
        <a:xfrm>
          <a:off x="1123950" y="9791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20082" name="Text Box 5">
          <a:extLst>
            <a:ext uri="{FF2B5EF4-FFF2-40B4-BE49-F238E27FC236}">
              <a16:creationId xmlns:a16="http://schemas.microsoft.com/office/drawing/2014/main" id="{1D6BF5EE-6BCB-4F5A-B702-53F1A342EC4D}"/>
            </a:ext>
          </a:extLst>
        </xdr:cNvPr>
        <xdr:cNvSpPr txBox="1">
          <a:spLocks noChangeArrowheads="1"/>
        </xdr:cNvSpPr>
      </xdr:nvSpPr>
      <xdr:spPr bwMode="auto">
        <a:xfrm>
          <a:off x="3676650" y="9791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76200</xdr:colOff>
      <xdr:row>52</xdr:row>
      <xdr:rowOff>0</xdr:rowOff>
    </xdr:to>
    <xdr:sp macro="" textlink="">
      <xdr:nvSpPr>
        <xdr:cNvPr id="20083" name="Text Box 6">
          <a:extLst>
            <a:ext uri="{FF2B5EF4-FFF2-40B4-BE49-F238E27FC236}">
              <a16:creationId xmlns:a16="http://schemas.microsoft.com/office/drawing/2014/main" id="{74DF8839-A226-4786-9557-0C4984C71434}"/>
            </a:ext>
          </a:extLst>
        </xdr:cNvPr>
        <xdr:cNvSpPr txBox="1">
          <a:spLocks noChangeArrowheads="1"/>
        </xdr:cNvSpPr>
      </xdr:nvSpPr>
      <xdr:spPr bwMode="auto">
        <a:xfrm>
          <a:off x="3676650" y="9791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1123950</xdr:colOff>
      <xdr:row>77</xdr:row>
      <xdr:rowOff>0</xdr:rowOff>
    </xdr:from>
    <xdr:to>
      <xdr:col>0</xdr:col>
      <xdr:colOff>1200150</xdr:colOff>
      <xdr:row>78</xdr:row>
      <xdr:rowOff>0</xdr:rowOff>
    </xdr:to>
    <xdr:sp macro="" textlink="">
      <xdr:nvSpPr>
        <xdr:cNvPr id="20084" name="Text Box 7">
          <a:extLst>
            <a:ext uri="{FF2B5EF4-FFF2-40B4-BE49-F238E27FC236}">
              <a16:creationId xmlns:a16="http://schemas.microsoft.com/office/drawing/2014/main" id="{3ACC0AB7-12E1-493F-9FA4-5B1A6F54ADC4}"/>
            </a:ext>
          </a:extLst>
        </xdr:cNvPr>
        <xdr:cNvSpPr txBox="1">
          <a:spLocks noChangeArrowheads="1"/>
        </xdr:cNvSpPr>
      </xdr:nvSpPr>
      <xdr:spPr bwMode="auto">
        <a:xfrm>
          <a:off x="1123950" y="14744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20085" name="Text Box 8">
          <a:extLst>
            <a:ext uri="{FF2B5EF4-FFF2-40B4-BE49-F238E27FC236}">
              <a16:creationId xmlns:a16="http://schemas.microsoft.com/office/drawing/2014/main" id="{EF0CBD24-37DC-4E98-AF9B-B7BADDA15BC1}"/>
            </a:ext>
          </a:extLst>
        </xdr:cNvPr>
        <xdr:cNvSpPr txBox="1">
          <a:spLocks noChangeArrowheads="1"/>
        </xdr:cNvSpPr>
      </xdr:nvSpPr>
      <xdr:spPr bwMode="auto">
        <a:xfrm>
          <a:off x="3676650" y="14744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76200</xdr:colOff>
      <xdr:row>78</xdr:row>
      <xdr:rowOff>0</xdr:rowOff>
    </xdr:to>
    <xdr:sp macro="" textlink="">
      <xdr:nvSpPr>
        <xdr:cNvPr id="20086" name="Text Box 9">
          <a:extLst>
            <a:ext uri="{FF2B5EF4-FFF2-40B4-BE49-F238E27FC236}">
              <a16:creationId xmlns:a16="http://schemas.microsoft.com/office/drawing/2014/main" id="{51286A82-E63D-4037-8E43-C3EFD5C8EE47}"/>
            </a:ext>
          </a:extLst>
        </xdr:cNvPr>
        <xdr:cNvSpPr txBox="1">
          <a:spLocks noChangeArrowheads="1"/>
        </xdr:cNvSpPr>
      </xdr:nvSpPr>
      <xdr:spPr bwMode="auto">
        <a:xfrm>
          <a:off x="3676650" y="14744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1123950</xdr:colOff>
      <xdr:row>103</xdr:row>
      <xdr:rowOff>0</xdr:rowOff>
    </xdr:from>
    <xdr:to>
      <xdr:col>0</xdr:col>
      <xdr:colOff>1200150</xdr:colOff>
      <xdr:row>104</xdr:row>
      <xdr:rowOff>0</xdr:rowOff>
    </xdr:to>
    <xdr:sp macro="" textlink="">
      <xdr:nvSpPr>
        <xdr:cNvPr id="20087" name="Text Box 10">
          <a:extLst>
            <a:ext uri="{FF2B5EF4-FFF2-40B4-BE49-F238E27FC236}">
              <a16:creationId xmlns:a16="http://schemas.microsoft.com/office/drawing/2014/main" id="{3E68959D-1D55-46F0-BEA2-EF95DA11BEC6}"/>
            </a:ext>
          </a:extLst>
        </xdr:cNvPr>
        <xdr:cNvSpPr txBox="1">
          <a:spLocks noChangeArrowheads="1"/>
        </xdr:cNvSpPr>
      </xdr:nvSpPr>
      <xdr:spPr bwMode="auto">
        <a:xfrm>
          <a:off x="1123950" y="1969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76200</xdr:colOff>
      <xdr:row>104</xdr:row>
      <xdr:rowOff>0</xdr:rowOff>
    </xdr:to>
    <xdr:sp macro="" textlink="">
      <xdr:nvSpPr>
        <xdr:cNvPr id="20088" name="Text Box 11">
          <a:extLst>
            <a:ext uri="{FF2B5EF4-FFF2-40B4-BE49-F238E27FC236}">
              <a16:creationId xmlns:a16="http://schemas.microsoft.com/office/drawing/2014/main" id="{12B13A6D-964B-4B35-9B72-1B696CBB689C}"/>
            </a:ext>
          </a:extLst>
        </xdr:cNvPr>
        <xdr:cNvSpPr txBox="1">
          <a:spLocks noChangeArrowheads="1"/>
        </xdr:cNvSpPr>
      </xdr:nvSpPr>
      <xdr:spPr bwMode="auto">
        <a:xfrm>
          <a:off x="3676650" y="1969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76200</xdr:colOff>
      <xdr:row>104</xdr:row>
      <xdr:rowOff>0</xdr:rowOff>
    </xdr:to>
    <xdr:sp macro="" textlink="">
      <xdr:nvSpPr>
        <xdr:cNvPr id="20089" name="Text Box 12">
          <a:extLst>
            <a:ext uri="{FF2B5EF4-FFF2-40B4-BE49-F238E27FC236}">
              <a16:creationId xmlns:a16="http://schemas.microsoft.com/office/drawing/2014/main" id="{92F5B854-B09C-49D0-832E-641DB8C10D49}"/>
            </a:ext>
          </a:extLst>
        </xdr:cNvPr>
        <xdr:cNvSpPr txBox="1">
          <a:spLocks noChangeArrowheads="1"/>
        </xdr:cNvSpPr>
      </xdr:nvSpPr>
      <xdr:spPr bwMode="auto">
        <a:xfrm>
          <a:off x="3676650" y="19697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1123950</xdr:colOff>
      <xdr:row>129</xdr:row>
      <xdr:rowOff>0</xdr:rowOff>
    </xdr:from>
    <xdr:to>
      <xdr:col>0</xdr:col>
      <xdr:colOff>1200150</xdr:colOff>
      <xdr:row>130</xdr:row>
      <xdr:rowOff>0</xdr:rowOff>
    </xdr:to>
    <xdr:sp macro="" textlink="">
      <xdr:nvSpPr>
        <xdr:cNvPr id="20090" name="Text Box 13">
          <a:extLst>
            <a:ext uri="{FF2B5EF4-FFF2-40B4-BE49-F238E27FC236}">
              <a16:creationId xmlns:a16="http://schemas.microsoft.com/office/drawing/2014/main" id="{C8D82291-0F1A-4E97-8BCB-0261E2C57205}"/>
            </a:ext>
          </a:extLst>
        </xdr:cNvPr>
        <xdr:cNvSpPr txBox="1">
          <a:spLocks noChangeArrowheads="1"/>
        </xdr:cNvSpPr>
      </xdr:nvSpPr>
      <xdr:spPr bwMode="auto">
        <a:xfrm>
          <a:off x="1123950" y="24650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76200</xdr:colOff>
      <xdr:row>130</xdr:row>
      <xdr:rowOff>0</xdr:rowOff>
    </xdr:to>
    <xdr:sp macro="" textlink="">
      <xdr:nvSpPr>
        <xdr:cNvPr id="20091" name="Text Box 14">
          <a:extLst>
            <a:ext uri="{FF2B5EF4-FFF2-40B4-BE49-F238E27FC236}">
              <a16:creationId xmlns:a16="http://schemas.microsoft.com/office/drawing/2014/main" id="{8B7CC0B6-7F88-40EB-A586-895244D6C53B}"/>
            </a:ext>
          </a:extLst>
        </xdr:cNvPr>
        <xdr:cNvSpPr txBox="1">
          <a:spLocks noChangeArrowheads="1"/>
        </xdr:cNvSpPr>
      </xdr:nvSpPr>
      <xdr:spPr bwMode="auto">
        <a:xfrm>
          <a:off x="3676650" y="24650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76200</xdr:colOff>
      <xdr:row>130</xdr:row>
      <xdr:rowOff>0</xdr:rowOff>
    </xdr:to>
    <xdr:sp macro="" textlink="">
      <xdr:nvSpPr>
        <xdr:cNvPr id="20092" name="Text Box 15">
          <a:extLst>
            <a:ext uri="{FF2B5EF4-FFF2-40B4-BE49-F238E27FC236}">
              <a16:creationId xmlns:a16="http://schemas.microsoft.com/office/drawing/2014/main" id="{787EFB72-9999-4262-8860-A60A2C9A8E5A}"/>
            </a:ext>
          </a:extLst>
        </xdr:cNvPr>
        <xdr:cNvSpPr txBox="1">
          <a:spLocks noChangeArrowheads="1"/>
        </xdr:cNvSpPr>
      </xdr:nvSpPr>
      <xdr:spPr bwMode="auto">
        <a:xfrm>
          <a:off x="3676650" y="246507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9525</xdr:colOff>
      <xdr:row>12</xdr:row>
      <xdr:rowOff>104775</xdr:rowOff>
    </xdr:from>
    <xdr:to>
      <xdr:col>14</xdr:col>
      <xdr:colOff>466725</xdr:colOff>
      <xdr:row>21</xdr:row>
      <xdr:rowOff>152400</xdr:rowOff>
    </xdr:to>
    <xdr:grpSp>
      <xdr:nvGrpSpPr>
        <xdr:cNvPr id="20093" name="Group 554">
          <a:extLst>
            <a:ext uri="{FF2B5EF4-FFF2-40B4-BE49-F238E27FC236}">
              <a16:creationId xmlns:a16="http://schemas.microsoft.com/office/drawing/2014/main" id="{D57DAC2F-DAC8-4E7B-9F74-3DA170236C2E}"/>
            </a:ext>
          </a:extLst>
        </xdr:cNvPr>
        <xdr:cNvGrpSpPr>
          <a:grpSpLocks/>
        </xdr:cNvGrpSpPr>
      </xdr:nvGrpSpPr>
      <xdr:grpSpPr bwMode="auto">
        <a:xfrm>
          <a:off x="3686175" y="2343150"/>
          <a:ext cx="5648325" cy="1866900"/>
          <a:chOff x="399" y="202"/>
          <a:chExt cx="629" cy="207"/>
        </a:xfrm>
      </xdr:grpSpPr>
      <xdr:sp macro="" textlink="">
        <xdr:nvSpPr>
          <xdr:cNvPr id="20094" name="Rectangle 206">
            <a:extLst>
              <a:ext uri="{FF2B5EF4-FFF2-40B4-BE49-F238E27FC236}">
                <a16:creationId xmlns:a16="http://schemas.microsoft.com/office/drawing/2014/main" id="{45479310-8949-41DD-B413-64BDE23C14DC}"/>
              </a:ext>
            </a:extLst>
          </xdr:cNvPr>
          <xdr:cNvSpPr>
            <a:spLocks noChangeArrowheads="1"/>
          </xdr:cNvSpPr>
        </xdr:nvSpPr>
        <xdr:spPr bwMode="auto">
          <a:xfrm>
            <a:off x="399" y="202"/>
            <a:ext cx="629" cy="20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grpSp>
        <xdr:nvGrpSpPr>
          <xdr:cNvPr id="20095" name="Group 553">
            <a:extLst>
              <a:ext uri="{FF2B5EF4-FFF2-40B4-BE49-F238E27FC236}">
                <a16:creationId xmlns:a16="http://schemas.microsoft.com/office/drawing/2014/main" id="{4FD72359-98AC-46F8-A702-AFF96B823E8F}"/>
              </a:ext>
            </a:extLst>
          </xdr:cNvPr>
          <xdr:cNvGrpSpPr>
            <a:grpSpLocks/>
          </xdr:cNvGrpSpPr>
        </xdr:nvGrpSpPr>
        <xdr:grpSpPr bwMode="auto">
          <a:xfrm>
            <a:off x="406" y="209"/>
            <a:ext cx="598" cy="195"/>
            <a:chOff x="406" y="209"/>
            <a:chExt cx="598" cy="195"/>
          </a:xfrm>
        </xdr:grpSpPr>
        <xdr:sp macro="" textlink="">
          <xdr:nvSpPr>
            <xdr:cNvPr id="20096" name="Rectangle 478">
              <a:extLst>
                <a:ext uri="{FF2B5EF4-FFF2-40B4-BE49-F238E27FC236}">
                  <a16:creationId xmlns:a16="http://schemas.microsoft.com/office/drawing/2014/main" id="{789DE271-2267-41DA-A269-771088460E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3" y="340"/>
              <a:ext cx="191" cy="8"/>
            </a:xfrm>
            <a:prstGeom prst="rect">
              <a:avLst/>
            </a:prstGeom>
            <a:solidFill>
              <a:srgbClr val="FFCC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</xdr:sp>
        <xdr:sp macro="" textlink="">
          <xdr:nvSpPr>
            <xdr:cNvPr id="20097" name="Rectangle 479">
              <a:extLst>
                <a:ext uri="{FF2B5EF4-FFF2-40B4-BE49-F238E27FC236}">
                  <a16:creationId xmlns:a16="http://schemas.microsoft.com/office/drawing/2014/main" id="{23092B0D-33BF-4977-9382-9EF823D3A342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-2550627">
              <a:off x="866" y="311"/>
              <a:ext cx="66" cy="7"/>
            </a:xfrm>
            <a:prstGeom prst="rect">
              <a:avLst/>
            </a:prstGeom>
            <a:solidFill>
              <a:srgbClr val="FF99C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098" name="Rectangle 480">
              <a:extLst>
                <a:ext uri="{FF2B5EF4-FFF2-40B4-BE49-F238E27FC236}">
                  <a16:creationId xmlns:a16="http://schemas.microsoft.com/office/drawing/2014/main" id="{02C91735-CFC5-4409-9859-A428981D8E97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921" y="289"/>
              <a:ext cx="27" cy="8"/>
            </a:xfrm>
            <a:prstGeom prst="rect">
              <a:avLst/>
            </a:prstGeom>
            <a:solidFill>
              <a:srgbClr val="99CC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099" name="AutoShape 481">
              <a:extLst>
                <a:ext uri="{FF2B5EF4-FFF2-40B4-BE49-F238E27FC236}">
                  <a16:creationId xmlns:a16="http://schemas.microsoft.com/office/drawing/2014/main" id="{7311251A-8823-4BB4-B604-488EE7A08D35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683" y="315"/>
              <a:ext cx="266" cy="26"/>
            </a:xfrm>
            <a:prstGeom prst="rtTriangle">
              <a:avLst/>
            </a:prstGeom>
            <a:solidFill>
              <a:srgbClr val="CCFFC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100" name="AutoShape 482">
              <a:extLst>
                <a:ext uri="{FF2B5EF4-FFF2-40B4-BE49-F238E27FC236}">
                  <a16:creationId xmlns:a16="http://schemas.microsoft.com/office/drawing/2014/main" id="{7A97EA1B-037D-4FCA-BED1-AF5186834B8C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flipH="1">
              <a:off x="453" y="318"/>
              <a:ext cx="194" cy="24"/>
            </a:xfrm>
            <a:prstGeom prst="rtTriangle">
              <a:avLst/>
            </a:prstGeom>
            <a:solidFill>
              <a:srgbClr val="FFCC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101" name="Rectangle 483">
              <a:extLst>
                <a:ext uri="{FF2B5EF4-FFF2-40B4-BE49-F238E27FC236}">
                  <a16:creationId xmlns:a16="http://schemas.microsoft.com/office/drawing/2014/main" id="{483D52AE-23A8-4217-A19A-3D11C7959B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4" y="341"/>
              <a:ext cx="265" cy="7"/>
            </a:xfrm>
            <a:prstGeom prst="rect">
              <a:avLst/>
            </a:prstGeom>
            <a:solidFill>
              <a:srgbClr val="CCFFCC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102" name="Rectangle 484">
              <a:extLst>
                <a:ext uri="{FF2B5EF4-FFF2-40B4-BE49-F238E27FC236}">
                  <a16:creationId xmlns:a16="http://schemas.microsoft.com/office/drawing/2014/main" id="{2FE79FDC-8D0F-47D2-B01B-B7A3E430F679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644" y="291"/>
              <a:ext cx="40" cy="57"/>
            </a:xfrm>
            <a:prstGeom prst="rect">
              <a:avLst/>
            </a:prstGeom>
            <a:solidFill>
              <a:srgbClr val="FFFF9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20103" name="Freeform 485">
              <a:extLst>
                <a:ext uri="{FF2B5EF4-FFF2-40B4-BE49-F238E27FC236}">
                  <a16:creationId xmlns:a16="http://schemas.microsoft.com/office/drawing/2014/main" id="{71C90D68-24C1-4D29-9DE6-1BAFF675313F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872" y="290"/>
              <a:ext cx="76" cy="57"/>
            </a:xfrm>
            <a:custGeom>
              <a:avLst/>
              <a:gdLst>
                <a:gd name="T0" fmla="*/ 0 w 521"/>
                <a:gd name="T1" fmla="*/ 0 h 394"/>
                <a:gd name="T2" fmla="*/ 0 w 521"/>
                <a:gd name="T3" fmla="*/ 0 h 394"/>
                <a:gd name="T4" fmla="*/ 0 w 521"/>
                <a:gd name="T5" fmla="*/ 0 h 394"/>
                <a:gd name="T6" fmla="*/ 0 w 521"/>
                <a:gd name="T7" fmla="*/ 0 h 394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521" h="394">
                  <a:moveTo>
                    <a:pt x="521" y="394"/>
                  </a:moveTo>
                  <a:lnTo>
                    <a:pt x="521" y="0"/>
                  </a:lnTo>
                  <a:lnTo>
                    <a:pt x="329" y="0"/>
                  </a:lnTo>
                  <a:lnTo>
                    <a:pt x="0" y="298"/>
                  </a:lnTo>
                </a:path>
              </a:pathLst>
            </a:custGeom>
            <a:noFill/>
            <a:ln w="1270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104" name="Freeform 486">
              <a:extLst>
                <a:ext uri="{FF2B5EF4-FFF2-40B4-BE49-F238E27FC236}">
                  <a16:creationId xmlns:a16="http://schemas.microsoft.com/office/drawing/2014/main" id="{D49542BD-2BFD-4129-B604-A34B7C651FD5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883" y="297"/>
              <a:ext cx="65" cy="44"/>
            </a:xfrm>
            <a:custGeom>
              <a:avLst/>
              <a:gdLst>
                <a:gd name="T0" fmla="*/ 0 w 447"/>
                <a:gd name="T1" fmla="*/ 0 h 301"/>
                <a:gd name="T2" fmla="*/ 0 w 447"/>
                <a:gd name="T3" fmla="*/ 0 h 301"/>
                <a:gd name="T4" fmla="*/ 0 w 447"/>
                <a:gd name="T5" fmla="*/ 0 h 301"/>
                <a:gd name="T6" fmla="*/ 0 w 447"/>
                <a:gd name="T7" fmla="*/ 0 h 301"/>
                <a:gd name="T8" fmla="*/ 0 60000 65536"/>
                <a:gd name="T9" fmla="*/ 0 60000 65536"/>
                <a:gd name="T10" fmla="*/ 0 60000 65536"/>
                <a:gd name="T11" fmla="*/ 0 60000 65536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0" t="0" r="r" b="b"/>
              <a:pathLst>
                <a:path w="447" h="301">
                  <a:moveTo>
                    <a:pt x="447" y="0"/>
                  </a:moveTo>
                  <a:lnTo>
                    <a:pt x="276" y="0"/>
                  </a:lnTo>
                  <a:lnTo>
                    <a:pt x="0" y="257"/>
                  </a:lnTo>
                  <a:lnTo>
                    <a:pt x="447" y="301"/>
                  </a:lnTo>
                </a:path>
              </a:pathLst>
            </a:custGeom>
            <a:noFill/>
            <a:ln w="1270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105" name="Freeform 487">
              <a:extLst>
                <a:ext uri="{FF2B5EF4-FFF2-40B4-BE49-F238E27FC236}">
                  <a16:creationId xmlns:a16="http://schemas.microsoft.com/office/drawing/2014/main" id="{F371FFDD-7B95-4248-BBC6-9C1B95A6939C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53" y="290"/>
              <a:ext cx="419" cy="57"/>
            </a:xfrm>
            <a:custGeom>
              <a:avLst/>
              <a:gdLst>
                <a:gd name="T0" fmla="*/ 0 w 2883"/>
                <a:gd name="T1" fmla="*/ 0 h 394"/>
                <a:gd name="T2" fmla="*/ 0 w 2883"/>
                <a:gd name="T3" fmla="*/ 0 h 394"/>
                <a:gd name="T4" fmla="*/ 0 w 2883"/>
                <a:gd name="T5" fmla="*/ 0 h 394"/>
                <a:gd name="T6" fmla="*/ 0 w 2883"/>
                <a:gd name="T7" fmla="*/ 0 h 394"/>
                <a:gd name="T8" fmla="*/ 0 w 2883"/>
                <a:gd name="T9" fmla="*/ 0 h 394"/>
                <a:gd name="T10" fmla="*/ 0 w 2883"/>
                <a:gd name="T11" fmla="*/ 0 h 394"/>
                <a:gd name="T12" fmla="*/ 0 w 2883"/>
                <a:gd name="T13" fmla="*/ 0 h 39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0" t="0" r="r" b="b"/>
              <a:pathLst>
                <a:path w="2883" h="394">
                  <a:moveTo>
                    <a:pt x="0" y="394"/>
                  </a:moveTo>
                  <a:lnTo>
                    <a:pt x="0" y="349"/>
                  </a:lnTo>
                  <a:lnTo>
                    <a:pt x="1313" y="191"/>
                  </a:lnTo>
                  <a:lnTo>
                    <a:pt x="1313" y="0"/>
                  </a:lnTo>
                  <a:lnTo>
                    <a:pt x="1590" y="0"/>
                  </a:lnTo>
                  <a:lnTo>
                    <a:pt x="1590" y="171"/>
                  </a:lnTo>
                  <a:lnTo>
                    <a:pt x="2883" y="298"/>
                  </a:lnTo>
                </a:path>
              </a:pathLst>
            </a:custGeom>
            <a:noFill/>
            <a:ln w="1270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20106" name="Line 488">
              <a:extLst>
                <a:ext uri="{FF2B5EF4-FFF2-40B4-BE49-F238E27FC236}">
                  <a16:creationId xmlns:a16="http://schemas.microsoft.com/office/drawing/2014/main" id="{7F801433-C971-4816-BCFE-AC3342DC2AB3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52" y="348"/>
              <a:ext cx="497" cy="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07" name="Line 489">
              <a:extLst>
                <a:ext uri="{FF2B5EF4-FFF2-40B4-BE49-F238E27FC236}">
                  <a16:creationId xmlns:a16="http://schemas.microsoft.com/office/drawing/2014/main" id="{B5D0BF52-11E4-4919-B253-6E0C9BFD22E9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52" y="348"/>
              <a:ext cx="0" cy="5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08" name="Line 490">
              <a:extLst>
                <a:ext uri="{FF2B5EF4-FFF2-40B4-BE49-F238E27FC236}">
                  <a16:creationId xmlns:a16="http://schemas.microsoft.com/office/drawing/2014/main" id="{09989D2B-1E83-417F-9223-82093C5836A1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48" y="349"/>
              <a:ext cx="0" cy="5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09" name="Line 491">
              <a:extLst>
                <a:ext uri="{FF2B5EF4-FFF2-40B4-BE49-F238E27FC236}">
                  <a16:creationId xmlns:a16="http://schemas.microsoft.com/office/drawing/2014/main" id="{D58AEE62-99F3-4347-B376-313FF7D7A6BD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52" y="379"/>
              <a:ext cx="497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lg"/>
              <a:tailEnd type="triangl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88" name="Text Box 492">
              <a:extLst>
                <a:ext uri="{FF2B5EF4-FFF2-40B4-BE49-F238E27FC236}">
                  <a16:creationId xmlns:a16="http://schemas.microsoft.com/office/drawing/2014/main" id="{CD17D676-6580-4CF6-A09E-4A9248D56804}"/>
                </a:ext>
              </a:extLst>
            </xdr:cNvPr>
            <xdr:cNvSpPr txBox="1">
              <a:spLocks noChangeAspect="1" noChangeArrowheads="1"/>
            </xdr:cNvSpPr>
          </xdr:nvSpPr>
          <xdr:spPr bwMode="auto">
            <a:xfrm>
              <a:off x="648" y="347"/>
              <a:ext cx="46" cy="4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de-CH" sz="1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de-CH" sz="12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endParaRPr lang="de-CH" sz="12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CH"/>
            </a:p>
          </xdr:txBody>
        </xdr:sp>
        <xdr:sp macro="" textlink="">
          <xdr:nvSpPr>
            <xdr:cNvPr id="20111" name="Line 493">
              <a:extLst>
                <a:ext uri="{FF2B5EF4-FFF2-40B4-BE49-F238E27FC236}">
                  <a16:creationId xmlns:a16="http://schemas.microsoft.com/office/drawing/2014/main" id="{5DD6BF43-2331-49E7-A895-E0ED2C36A8F9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V="1">
              <a:off x="452" y="262"/>
              <a:ext cx="0" cy="78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2" name="Line 494">
              <a:extLst>
                <a:ext uri="{FF2B5EF4-FFF2-40B4-BE49-F238E27FC236}">
                  <a16:creationId xmlns:a16="http://schemas.microsoft.com/office/drawing/2014/main" id="{3B7AE530-6FE1-4CB6-82F7-D454A4CD7E24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H="1" flipV="1">
              <a:off x="644" y="232"/>
              <a:ext cx="0" cy="57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3" name="Line 495">
              <a:extLst>
                <a:ext uri="{FF2B5EF4-FFF2-40B4-BE49-F238E27FC236}">
                  <a16:creationId xmlns:a16="http://schemas.microsoft.com/office/drawing/2014/main" id="{B42715B1-3817-473E-8C3B-E78E9D351DD6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H="1" flipV="1">
              <a:off x="684" y="262"/>
              <a:ext cx="0" cy="27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4" name="Line 496">
              <a:extLst>
                <a:ext uri="{FF2B5EF4-FFF2-40B4-BE49-F238E27FC236}">
                  <a16:creationId xmlns:a16="http://schemas.microsoft.com/office/drawing/2014/main" id="{23B2FF47-AD04-424A-89FE-D93137FE9F8D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H="1" flipV="1">
              <a:off x="920" y="263"/>
              <a:ext cx="0" cy="26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5" name="Line 497">
              <a:extLst>
                <a:ext uri="{FF2B5EF4-FFF2-40B4-BE49-F238E27FC236}">
                  <a16:creationId xmlns:a16="http://schemas.microsoft.com/office/drawing/2014/main" id="{8314C15E-FB74-4D74-ACD8-DC5E60D5A0F2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H="1" flipV="1">
              <a:off x="948" y="232"/>
              <a:ext cx="0" cy="57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6" name="Line 498">
              <a:extLst>
                <a:ext uri="{FF2B5EF4-FFF2-40B4-BE49-F238E27FC236}">
                  <a16:creationId xmlns:a16="http://schemas.microsoft.com/office/drawing/2014/main" id="{741C8C86-7CB7-4C2B-86BE-A139BA198199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452" y="272"/>
              <a:ext cx="191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lg"/>
              <a:tailEnd type="triangl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7" name="Line 499">
              <a:extLst>
                <a:ext uri="{FF2B5EF4-FFF2-40B4-BE49-F238E27FC236}">
                  <a16:creationId xmlns:a16="http://schemas.microsoft.com/office/drawing/2014/main" id="{1D575F03-3D6F-4F0F-B573-F8B798AC3E1F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644" y="272"/>
              <a:ext cx="40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lg"/>
              <a:tailEnd type="triangl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8" name="Line 500">
              <a:extLst>
                <a:ext uri="{FF2B5EF4-FFF2-40B4-BE49-F238E27FC236}">
                  <a16:creationId xmlns:a16="http://schemas.microsoft.com/office/drawing/2014/main" id="{50D98AAF-6F9D-4A8E-812C-A1C710988979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684" y="272"/>
              <a:ext cx="236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lg"/>
              <a:tailEnd type="triangl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19" name="Line 501">
              <a:extLst>
                <a:ext uri="{FF2B5EF4-FFF2-40B4-BE49-F238E27FC236}">
                  <a16:creationId xmlns:a16="http://schemas.microsoft.com/office/drawing/2014/main" id="{B5473A70-FC0E-440C-9C95-2DF484D7E9C3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20" y="272"/>
              <a:ext cx="27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med"/>
              <a:tailEnd type="triangle" w="sm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98" name="Text Box 502">
              <a:extLst>
                <a:ext uri="{FF2B5EF4-FFF2-40B4-BE49-F238E27FC236}">
                  <a16:creationId xmlns:a16="http://schemas.microsoft.com/office/drawing/2014/main" id="{68FF0F5B-5C61-44D4-9148-72BD80D932F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5" y="247"/>
              <a:ext cx="51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d1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599" name="Text Box 503">
              <a:extLst>
                <a:ext uri="{FF2B5EF4-FFF2-40B4-BE49-F238E27FC236}">
                  <a16:creationId xmlns:a16="http://schemas.microsoft.com/office/drawing/2014/main" id="{75EB86BD-9EAD-415C-8C43-0949A05AE99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48" y="247"/>
              <a:ext cx="46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d2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00" name="Text Box 504">
              <a:extLst>
                <a:ext uri="{FF2B5EF4-FFF2-40B4-BE49-F238E27FC236}">
                  <a16:creationId xmlns:a16="http://schemas.microsoft.com/office/drawing/2014/main" id="{F998066B-95B7-4B53-B48A-0567C53213F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90" y="247"/>
              <a:ext cx="34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d3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01" name="Text Box 505">
              <a:extLst>
                <a:ext uri="{FF2B5EF4-FFF2-40B4-BE49-F238E27FC236}">
                  <a16:creationId xmlns:a16="http://schemas.microsoft.com/office/drawing/2014/main" id="{58B21C96-FC1D-495E-8EDB-64B826C1B0F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10" y="247"/>
              <a:ext cx="49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d4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24" name="Line 506">
              <a:extLst>
                <a:ext uri="{FF2B5EF4-FFF2-40B4-BE49-F238E27FC236}">
                  <a16:creationId xmlns:a16="http://schemas.microsoft.com/office/drawing/2014/main" id="{2BD892D8-DD91-4443-94DE-94CA771DD8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31" y="341"/>
              <a:ext cx="22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25" name="Line 507">
              <a:extLst>
                <a:ext uri="{FF2B5EF4-FFF2-40B4-BE49-F238E27FC236}">
                  <a16:creationId xmlns:a16="http://schemas.microsoft.com/office/drawing/2014/main" id="{E164C923-C653-488B-B96E-700B5ED9E4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30" y="348"/>
              <a:ext cx="23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26" name="Line 508">
              <a:extLst>
                <a:ext uri="{FF2B5EF4-FFF2-40B4-BE49-F238E27FC236}">
                  <a16:creationId xmlns:a16="http://schemas.microsoft.com/office/drawing/2014/main" id="{A2F90210-FD44-4478-99F5-E269A824C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49" y="340"/>
              <a:ext cx="23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27" name="Line 509">
              <a:extLst>
                <a:ext uri="{FF2B5EF4-FFF2-40B4-BE49-F238E27FC236}">
                  <a16:creationId xmlns:a16="http://schemas.microsoft.com/office/drawing/2014/main" id="{D54EECB0-CA7A-4E1C-AB9B-6CDBB77374C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49" y="348"/>
              <a:ext cx="23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28" name="Line 510">
              <a:extLst>
                <a:ext uri="{FF2B5EF4-FFF2-40B4-BE49-F238E27FC236}">
                  <a16:creationId xmlns:a16="http://schemas.microsoft.com/office/drawing/2014/main" id="{0FB9B725-8A76-453C-9E56-65A562F0108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49" y="289"/>
              <a:ext cx="22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29" name="Line 511">
              <a:extLst>
                <a:ext uri="{FF2B5EF4-FFF2-40B4-BE49-F238E27FC236}">
                  <a16:creationId xmlns:a16="http://schemas.microsoft.com/office/drawing/2014/main" id="{08DA3048-95B9-4388-A03B-E5096D52ED0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49" y="297"/>
              <a:ext cx="22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30" name="Line 512">
              <a:extLst>
                <a:ext uri="{FF2B5EF4-FFF2-40B4-BE49-F238E27FC236}">
                  <a16:creationId xmlns:a16="http://schemas.microsoft.com/office/drawing/2014/main" id="{A03800E0-A027-441F-BDA7-00F7E556BE6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63" y="274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31" name="Line 513">
              <a:extLst>
                <a:ext uri="{FF2B5EF4-FFF2-40B4-BE49-F238E27FC236}">
                  <a16:creationId xmlns:a16="http://schemas.microsoft.com/office/drawing/2014/main" id="{D29F24F1-D124-4B85-AF6B-6A2BF718D8B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63" y="325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32" name="Line 514">
              <a:extLst>
                <a:ext uri="{FF2B5EF4-FFF2-40B4-BE49-F238E27FC236}">
                  <a16:creationId xmlns:a16="http://schemas.microsoft.com/office/drawing/2014/main" id="{E7224A44-6CBC-4A3A-9A0A-B3C2827DA6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63" y="349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non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33" name="Line 515">
              <a:extLst>
                <a:ext uri="{FF2B5EF4-FFF2-40B4-BE49-F238E27FC236}">
                  <a16:creationId xmlns:a16="http://schemas.microsoft.com/office/drawing/2014/main" id="{B5F83895-3454-4985-AF00-074DE87673E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63" y="298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non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2" name="Text Box 516">
              <a:extLst>
                <a:ext uri="{FF2B5EF4-FFF2-40B4-BE49-F238E27FC236}">
                  <a16:creationId xmlns:a16="http://schemas.microsoft.com/office/drawing/2014/main" id="{F22DADA6-731E-45AE-A163-4553057A658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61" y="279"/>
              <a:ext cx="36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e6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13" name="Text Box 517">
              <a:extLst>
                <a:ext uri="{FF2B5EF4-FFF2-40B4-BE49-F238E27FC236}">
                  <a16:creationId xmlns:a16="http://schemas.microsoft.com/office/drawing/2014/main" id="{A1997393-5807-4283-8803-5EB3F1FADE3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61" y="330"/>
              <a:ext cx="36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e1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36" name="Line 518">
              <a:extLst>
                <a:ext uri="{FF2B5EF4-FFF2-40B4-BE49-F238E27FC236}">
                  <a16:creationId xmlns:a16="http://schemas.microsoft.com/office/drawing/2014/main" id="{8067DEC8-8A2F-40FF-BA63-372F0E8BEC0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38" y="325"/>
              <a:ext cx="0" cy="16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37" name="Line 519">
              <a:extLst>
                <a:ext uri="{FF2B5EF4-FFF2-40B4-BE49-F238E27FC236}">
                  <a16:creationId xmlns:a16="http://schemas.microsoft.com/office/drawing/2014/main" id="{A2BADA73-7A94-4F28-8F2B-352F6E05A48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38" y="348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non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6" name="Text Box 520">
              <a:extLst>
                <a:ext uri="{FF2B5EF4-FFF2-40B4-BE49-F238E27FC236}">
                  <a16:creationId xmlns:a16="http://schemas.microsoft.com/office/drawing/2014/main" id="{79008BBD-E87F-48E2-88CA-ECC3A994AC5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06" y="330"/>
              <a:ext cx="46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e1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39" name="Line 521">
              <a:extLst>
                <a:ext uri="{FF2B5EF4-FFF2-40B4-BE49-F238E27FC236}">
                  <a16:creationId xmlns:a16="http://schemas.microsoft.com/office/drawing/2014/main" id="{FB66A379-15FA-417F-AD3D-A0A64ECE495C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17" y="317"/>
              <a:ext cx="26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40" name="Line 522">
              <a:extLst>
                <a:ext uri="{FF2B5EF4-FFF2-40B4-BE49-F238E27FC236}">
                  <a16:creationId xmlns:a16="http://schemas.microsoft.com/office/drawing/2014/main" id="{9C01D7D6-BFDF-4336-B7EC-A630631C559E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83" y="314"/>
              <a:ext cx="27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41" name="Line 523">
              <a:extLst>
                <a:ext uri="{FF2B5EF4-FFF2-40B4-BE49-F238E27FC236}">
                  <a16:creationId xmlns:a16="http://schemas.microsoft.com/office/drawing/2014/main" id="{E728987B-A43C-4BCA-9643-4E0ED5C836B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54" y="290"/>
              <a:ext cx="0" cy="58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42" name="Line 524">
              <a:extLst>
                <a:ext uri="{FF2B5EF4-FFF2-40B4-BE49-F238E27FC236}">
                  <a16:creationId xmlns:a16="http://schemas.microsoft.com/office/drawing/2014/main" id="{BCB5A0B8-6FDE-43BB-AE6D-D10E1A55E0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6" y="317"/>
              <a:ext cx="0" cy="31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43" name="Line 525">
              <a:extLst>
                <a:ext uri="{FF2B5EF4-FFF2-40B4-BE49-F238E27FC236}">
                  <a16:creationId xmlns:a16="http://schemas.microsoft.com/office/drawing/2014/main" id="{F4975786-AC68-4144-A4A9-A5B3B42AEBE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02" y="314"/>
              <a:ext cx="0" cy="33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sm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2" name="Text Box 526">
              <a:extLst>
                <a:ext uri="{FF2B5EF4-FFF2-40B4-BE49-F238E27FC236}">
                  <a16:creationId xmlns:a16="http://schemas.microsoft.com/office/drawing/2014/main" id="{BCCC4CFD-2562-492F-9E4B-CAAB4C5402A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" y="323"/>
              <a:ext cx="51" cy="1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8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e2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23" name="Text Box 527">
              <a:extLst>
                <a:ext uri="{FF2B5EF4-FFF2-40B4-BE49-F238E27FC236}">
                  <a16:creationId xmlns:a16="http://schemas.microsoft.com/office/drawing/2014/main" id="{BC2BCB7D-1FE7-47A8-B834-26DA591FC0D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48" y="300"/>
              <a:ext cx="39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e3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24" name="Text Box 528">
              <a:extLst>
                <a:ext uri="{FF2B5EF4-FFF2-40B4-BE49-F238E27FC236}">
                  <a16:creationId xmlns:a16="http://schemas.microsoft.com/office/drawing/2014/main" id="{BE953DD0-AF1B-4266-8B7C-1BFD66E44D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6" y="317"/>
              <a:ext cx="43" cy="2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e4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47" name="Line 529">
              <a:extLst>
                <a:ext uri="{FF2B5EF4-FFF2-40B4-BE49-F238E27FC236}">
                  <a16:creationId xmlns:a16="http://schemas.microsoft.com/office/drawing/2014/main" id="{66046268-1F88-453A-AE83-2BF5ED8E5F73}"/>
                </a:ext>
              </a:extLst>
            </xdr:cNvPr>
            <xdr:cNvSpPr>
              <a:spLocks noChangeShapeType="1"/>
            </xdr:cNvSpPr>
          </xdr:nvSpPr>
          <xdr:spPr bwMode="auto">
            <a:xfrm rot="-2700000">
              <a:off x="907" y="284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48" name="Line 530">
              <a:extLst>
                <a:ext uri="{FF2B5EF4-FFF2-40B4-BE49-F238E27FC236}">
                  <a16:creationId xmlns:a16="http://schemas.microsoft.com/office/drawing/2014/main" id="{90F7DDBC-95C4-40FD-BD76-E8AE9D569A25}"/>
                </a:ext>
              </a:extLst>
            </xdr:cNvPr>
            <xdr:cNvSpPr>
              <a:spLocks noChangeShapeType="1"/>
            </xdr:cNvSpPr>
          </xdr:nvSpPr>
          <xdr:spPr bwMode="auto">
            <a:xfrm rot="8100000">
              <a:off x="923" y="301"/>
              <a:ext cx="0" cy="15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Text Box 531">
              <a:extLst>
                <a:ext uri="{FF2B5EF4-FFF2-40B4-BE49-F238E27FC236}">
                  <a16:creationId xmlns:a16="http://schemas.microsoft.com/office/drawing/2014/main" id="{FF18953D-D377-4286-BAB9-6D4C11B674A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5" y="274"/>
              <a:ext cx="35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e5</a:t>
              </a:r>
            </a:p>
            <a:p>
              <a:pPr algn="l" rtl="0">
                <a:defRPr sz="1000"/>
              </a:pPr>
              <a:endParaRPr lang="de-CH"/>
            </a:p>
          </xdr:txBody>
        </xdr:sp>
        <xdr:sp macro="" textlink="">
          <xdr:nvSpPr>
            <xdr:cNvPr id="20150" name="Line 532">
              <a:extLst>
                <a:ext uri="{FF2B5EF4-FFF2-40B4-BE49-F238E27FC236}">
                  <a16:creationId xmlns:a16="http://schemas.microsoft.com/office/drawing/2014/main" id="{5D7CBC8B-07C0-439F-8EBA-75243A9132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90" y="328"/>
              <a:ext cx="30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51" name="Arc 533">
              <a:extLst>
                <a:ext uri="{FF2B5EF4-FFF2-40B4-BE49-F238E27FC236}">
                  <a16:creationId xmlns:a16="http://schemas.microsoft.com/office/drawing/2014/main" id="{21E815E3-925A-401F-97C2-48CF5BC50078}"/>
                </a:ext>
              </a:extLst>
            </xdr:cNvPr>
            <xdr:cNvSpPr>
              <a:spLocks/>
            </xdr:cNvSpPr>
          </xdr:nvSpPr>
          <xdr:spPr bwMode="auto">
            <a:xfrm rot="600479">
              <a:off x="892" y="312"/>
              <a:ext cx="26" cy="15"/>
            </a:xfrm>
            <a:custGeom>
              <a:avLst/>
              <a:gdLst>
                <a:gd name="T0" fmla="*/ 0 w 21576"/>
                <a:gd name="T1" fmla="*/ 0 h 18892"/>
                <a:gd name="T2" fmla="*/ 0 w 21576"/>
                <a:gd name="T3" fmla="*/ 0 h 18892"/>
                <a:gd name="T4" fmla="*/ 0 w 21576"/>
                <a:gd name="T5" fmla="*/ 0 h 18892"/>
                <a:gd name="T6" fmla="*/ 0 60000 65536"/>
                <a:gd name="T7" fmla="*/ 0 60000 65536"/>
                <a:gd name="T8" fmla="*/ 0 60000 65536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0" t="0" r="r" b="b"/>
              <a:pathLst>
                <a:path w="21576" h="18892" fill="none" extrusionOk="0">
                  <a:moveTo>
                    <a:pt x="10471" y="0"/>
                  </a:moveTo>
                  <a:cubicBezTo>
                    <a:pt x="17023" y="3631"/>
                    <a:pt x="21226" y="10399"/>
                    <a:pt x="21576" y="17881"/>
                  </a:cubicBezTo>
                </a:path>
                <a:path w="21576" h="18892" stroke="0" extrusionOk="0">
                  <a:moveTo>
                    <a:pt x="10471" y="0"/>
                  </a:moveTo>
                  <a:cubicBezTo>
                    <a:pt x="17023" y="3631"/>
                    <a:pt x="21226" y="10399"/>
                    <a:pt x="21576" y="17881"/>
                  </a:cubicBezTo>
                  <a:lnTo>
                    <a:pt x="0" y="18892"/>
                  </a:lnTo>
                  <a:lnTo>
                    <a:pt x="10471" y="0"/>
                  </a:lnTo>
                  <a:close/>
                </a:path>
              </a:pathLst>
            </a:custGeom>
            <a:noFill/>
            <a:ln w="6350">
              <a:solidFill>
                <a:srgbClr val="000000"/>
              </a:solidFill>
              <a:round/>
              <a:headEnd type="triangle" w="sm" len="sm"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</a:extLst>
          </xdr:spPr>
        </xdr:sp>
        <xdr:sp macro="" textlink="">
          <xdr:nvSpPr>
            <xdr:cNvPr id="4630" name="Text Box 534">
              <a:extLst>
                <a:ext uri="{FF2B5EF4-FFF2-40B4-BE49-F238E27FC236}">
                  <a16:creationId xmlns:a16="http://schemas.microsoft.com/office/drawing/2014/main" id="{F914D9E2-E258-4EE4-82C7-C63561D5718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10" y="315"/>
              <a:ext cx="36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45°</a:t>
              </a:r>
            </a:p>
            <a:p>
              <a:pPr algn="l" rtl="0">
                <a:defRPr sz="1000"/>
              </a:pPr>
              <a:endParaRPr lang="de-CH"/>
            </a:p>
          </xdr:txBody>
        </xdr:sp>
        <xdr:sp macro="" textlink="">
          <xdr:nvSpPr>
            <xdr:cNvPr id="20153" name="Oval 535">
              <a:extLst>
                <a:ext uri="{FF2B5EF4-FFF2-40B4-BE49-F238E27FC236}">
                  <a16:creationId xmlns:a16="http://schemas.microsoft.com/office/drawing/2014/main" id="{DCF59D81-5A53-4298-A55E-E85CD125402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300"/>
              <a:ext cx="19" cy="19"/>
            </a:xfrm>
            <a:prstGeom prst="ellips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</a:extLst>
          </xdr:spPr>
        </xdr:sp>
        <xdr:sp macro="" textlink="">
          <xdr:nvSpPr>
            <xdr:cNvPr id="4632" name="Text Box 536">
              <a:extLst>
                <a:ext uri="{FF2B5EF4-FFF2-40B4-BE49-F238E27FC236}">
                  <a16:creationId xmlns:a16="http://schemas.microsoft.com/office/drawing/2014/main" id="{716C1200-1D9C-48F8-94FB-08B2832DF4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1" y="296"/>
              <a:ext cx="27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4633" name="Text Box 537">
              <a:extLst>
                <a:ext uri="{FF2B5EF4-FFF2-40B4-BE49-F238E27FC236}">
                  <a16:creationId xmlns:a16="http://schemas.microsoft.com/office/drawing/2014/main" id="{A1A5581E-D774-4A73-96CA-D7F54CC84C9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61" y="311"/>
              <a:ext cx="28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3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56" name="Oval 538">
              <a:extLst>
                <a:ext uri="{FF2B5EF4-FFF2-40B4-BE49-F238E27FC236}">
                  <a16:creationId xmlns:a16="http://schemas.microsoft.com/office/drawing/2014/main" id="{B56698D2-5E70-487D-A786-B52AC8109FE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66" y="315"/>
              <a:ext cx="19" cy="19"/>
            </a:xfrm>
            <a:prstGeom prst="ellips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</a:extLst>
          </xdr:spPr>
        </xdr:sp>
        <xdr:sp macro="" textlink="">
          <xdr:nvSpPr>
            <xdr:cNvPr id="4635" name="Text Box 539">
              <a:extLst>
                <a:ext uri="{FF2B5EF4-FFF2-40B4-BE49-F238E27FC236}">
                  <a16:creationId xmlns:a16="http://schemas.microsoft.com/office/drawing/2014/main" id="{8A3F26D1-ACD6-4F33-A6E5-8A07A222BE2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87" y="349"/>
              <a:ext cx="23" cy="26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lnSpc>
                  <a:spcPts val="700"/>
                </a:lnSpc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2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de-CH"/>
            </a:p>
          </xdr:txBody>
        </xdr:sp>
        <xdr:sp macro="" textlink="">
          <xdr:nvSpPr>
            <xdr:cNvPr id="20158" name="Oval 540">
              <a:extLst>
                <a:ext uri="{FF2B5EF4-FFF2-40B4-BE49-F238E27FC236}">
                  <a16:creationId xmlns:a16="http://schemas.microsoft.com/office/drawing/2014/main" id="{F5D9A95B-5790-420E-A5BF-D91B2CA70A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0" y="353"/>
              <a:ext cx="19" cy="19"/>
            </a:xfrm>
            <a:prstGeom prst="ellips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</a:extLst>
          </xdr:spPr>
        </xdr:sp>
        <xdr:sp macro="" textlink="">
          <xdr:nvSpPr>
            <xdr:cNvPr id="20159" name="Line 541">
              <a:extLst>
                <a:ext uri="{FF2B5EF4-FFF2-40B4-BE49-F238E27FC236}">
                  <a16:creationId xmlns:a16="http://schemas.microsoft.com/office/drawing/2014/main" id="{3D4FA14F-B665-4088-B355-F7BECAF0DB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43" y="239"/>
              <a:ext cx="305" cy="0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triangle" w="sm" len="lg"/>
              <a:tailEnd type="triangl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8" name="Text Box 542">
              <a:extLst>
                <a:ext uri="{FF2B5EF4-FFF2-40B4-BE49-F238E27FC236}">
                  <a16:creationId xmlns:a16="http://schemas.microsoft.com/office/drawing/2014/main" id="{CDBBA6B2-06AC-467D-9A95-4A961BD755E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77" y="209"/>
              <a:ext cx="38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  <xdr:txBody>
            <a:bodyPr vertOverflow="clip" wrap="square" lIns="91440" tIns="45720" rIns="91440" bIns="45720" anchor="t" upright="1"/>
            <a:lstStyle/>
            <a:p>
              <a:pPr algn="l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</a:t>
              </a:r>
              <a:r>
                <a:rPr lang="de-CH" sz="10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endParaRPr lang="de-CH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CH"/>
            </a:p>
          </xdr:txBody>
        </xdr:sp>
        <xdr:sp macro="" textlink="">
          <xdr:nvSpPr>
            <xdr:cNvPr id="20161" name="Line 543">
              <a:extLst>
                <a:ext uri="{FF2B5EF4-FFF2-40B4-BE49-F238E27FC236}">
                  <a16:creationId xmlns:a16="http://schemas.microsoft.com/office/drawing/2014/main" id="{E45F198F-8043-4C21-98FF-398990CA6F5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44" y="317"/>
              <a:ext cx="0" cy="31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2" name="Line 544">
              <a:extLst>
                <a:ext uri="{FF2B5EF4-FFF2-40B4-BE49-F238E27FC236}">
                  <a16:creationId xmlns:a16="http://schemas.microsoft.com/office/drawing/2014/main" id="{88E55A0D-79CC-46A6-9397-C706F35A4004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683" y="315"/>
              <a:ext cx="1" cy="34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3" name="AutoShape 545">
              <a:extLst>
                <a:ext uri="{FF2B5EF4-FFF2-40B4-BE49-F238E27FC236}">
                  <a16:creationId xmlns:a16="http://schemas.microsoft.com/office/drawing/2014/main" id="{92A043F6-A26F-4486-AE67-FB80743CBB56}"/>
                </a:ext>
              </a:extLst>
            </xdr:cNvPr>
            <xdr:cNvSpPr>
              <a:spLocks noChangeArrowheads="1"/>
            </xdr:cNvSpPr>
          </xdr:nvSpPr>
          <xdr:spPr bwMode="auto">
            <a:xfrm flipH="1">
              <a:off x="914" y="289"/>
              <a:ext cx="7" cy="7"/>
            </a:xfrm>
            <a:prstGeom prst="rtTriangle">
              <a:avLst/>
            </a:prstGeom>
            <a:solidFill>
              <a:srgbClr val="99CC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6350">
                  <a:solidFill>
                    <a:srgbClr val="000000"/>
                  </a:solidFill>
                  <a:miter lim="800000"/>
                  <a:headEnd type="none" w="sm" len="lg"/>
                  <a:tailEnd type="none" w="sm" len="lg"/>
                </a14:hiddenLine>
              </a:ext>
            </a:extLst>
          </xdr:spPr>
        </xdr:sp>
        <xdr:sp macro="" textlink="">
          <xdr:nvSpPr>
            <xdr:cNvPr id="20164" name="Line 546">
              <a:extLst>
                <a:ext uri="{FF2B5EF4-FFF2-40B4-BE49-F238E27FC236}">
                  <a16:creationId xmlns:a16="http://schemas.microsoft.com/office/drawing/2014/main" id="{03151915-5EDB-40D7-81A1-F247B6F952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72" y="333"/>
              <a:ext cx="12" cy="2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5" name="Line 547">
              <a:extLst>
                <a:ext uri="{FF2B5EF4-FFF2-40B4-BE49-F238E27FC236}">
                  <a16:creationId xmlns:a16="http://schemas.microsoft.com/office/drawing/2014/main" id="{95E34895-D7D8-453C-875F-EF9CFAFB566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13" y="296"/>
              <a:ext cx="11" cy="0"/>
            </a:xfrm>
            <a:prstGeom prst="line">
              <a:avLst/>
            </a:prstGeom>
            <a:noFill/>
            <a:ln w="3175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6" name="Line 548">
              <a:extLst>
                <a:ext uri="{FF2B5EF4-FFF2-40B4-BE49-F238E27FC236}">
                  <a16:creationId xmlns:a16="http://schemas.microsoft.com/office/drawing/2014/main" id="{02D25026-BA16-4848-8184-D199DA28A4A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20" y="290"/>
              <a:ext cx="2" cy="0"/>
            </a:xfrm>
            <a:prstGeom prst="line">
              <a:avLst/>
            </a:prstGeom>
            <a:noFill/>
            <a:ln w="15875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7" name="Line 549">
              <a:extLst>
                <a:ext uri="{FF2B5EF4-FFF2-40B4-BE49-F238E27FC236}">
                  <a16:creationId xmlns:a16="http://schemas.microsoft.com/office/drawing/2014/main" id="{45B27747-898D-426B-85B6-3FABAD6BA182}"/>
                </a:ext>
              </a:extLst>
            </xdr:cNvPr>
            <xdr:cNvSpPr>
              <a:spLocks noChangeShapeType="1"/>
            </xdr:cNvSpPr>
          </xdr:nvSpPr>
          <xdr:spPr bwMode="auto">
            <a:xfrm flipH="1" flipV="1">
              <a:off x="859" y="317"/>
              <a:ext cx="14" cy="16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8" name="Line 550">
              <a:extLst>
                <a:ext uri="{FF2B5EF4-FFF2-40B4-BE49-F238E27FC236}">
                  <a16:creationId xmlns:a16="http://schemas.microsoft.com/office/drawing/2014/main" id="{FC1AAB41-AE87-400D-B41D-A5000F82081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883" y="335"/>
              <a:ext cx="12" cy="19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69" name="Line 551">
              <a:extLst>
                <a:ext uri="{FF2B5EF4-FFF2-40B4-BE49-F238E27FC236}">
                  <a16:creationId xmlns:a16="http://schemas.microsoft.com/office/drawing/2014/main" id="{34D11E5B-38D4-4CA9-9D37-B148AC846CA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924" y="297"/>
              <a:ext cx="43" cy="24"/>
            </a:xfrm>
            <a:prstGeom prst="line">
              <a:avLst/>
            </a:prstGeom>
            <a:noFill/>
            <a:ln w="6350">
              <a:solidFill>
                <a:srgbClr val="000000"/>
              </a:solidFill>
              <a:round/>
              <a:headEnd type="none" w="sm" len="lg"/>
              <a:tailEnd type="none" w="sm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514350</xdr:colOff>
          <xdr:row>17</xdr:row>
          <xdr:rowOff>133350</xdr:rowOff>
        </xdr:from>
        <xdr:to>
          <xdr:col>6</xdr:col>
          <xdr:colOff>476250</xdr:colOff>
          <xdr:row>22</xdr:row>
          <xdr:rowOff>19050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7</xdr:row>
          <xdr:rowOff>104775</xdr:rowOff>
        </xdr:from>
        <xdr:to>
          <xdr:col>2</xdr:col>
          <xdr:colOff>723900</xdr:colOff>
          <xdr:row>10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8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</xdr:row>
          <xdr:rowOff>38100</xdr:rowOff>
        </xdr:from>
        <xdr:to>
          <xdr:col>6</xdr:col>
          <xdr:colOff>514350</xdr:colOff>
          <xdr:row>27</xdr:row>
          <xdr:rowOff>57150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114300</xdr:colOff>
      <xdr:row>13</xdr:row>
      <xdr:rowOff>133350</xdr:rowOff>
    </xdr:to>
    <xdr:graphicFrame macro="">
      <xdr:nvGraphicFramePr>
        <xdr:cNvPr id="2062" name="Diagramm 1">
          <a:extLst>
            <a:ext uri="{FF2B5EF4-FFF2-40B4-BE49-F238E27FC236}">
              <a16:creationId xmlns:a16="http://schemas.microsoft.com/office/drawing/2014/main" id="{3C9EFC1C-16DF-4455-B061-2725B4DFC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workbookViewId="0">
      <selection activeCell="D21" sqref="D21"/>
    </sheetView>
  </sheetViews>
  <sheetFormatPr defaultColWidth="11.42578125" defaultRowHeight="12.75" x14ac:dyDescent="0.2"/>
  <cols>
    <col min="1" max="1" width="22.28515625" style="101" customWidth="1"/>
    <col min="2" max="2" width="20.85546875" style="102" customWidth="1"/>
    <col min="3" max="3" width="10.28515625" style="78" customWidth="1"/>
    <col min="4" max="4" width="8.28515625" style="78" customWidth="1"/>
    <col min="5" max="5" width="7.28515625" style="78" customWidth="1"/>
    <col min="6" max="6" width="4.28515625" style="78" customWidth="1"/>
    <col min="7" max="7" width="19.28515625" style="108" customWidth="1"/>
    <col min="8" max="8" width="19.5703125" style="78" customWidth="1"/>
    <col min="9" max="9" width="10.140625" style="78" customWidth="1"/>
    <col min="10" max="10" width="11.7109375" style="78" customWidth="1"/>
    <col min="11" max="11" width="6.85546875" style="78" customWidth="1"/>
    <col min="12" max="16384" width="11.42578125" style="78"/>
  </cols>
  <sheetData>
    <row r="1" spans="1:11" ht="13.5" x14ac:dyDescent="0.2">
      <c r="A1" s="72" t="s">
        <v>15</v>
      </c>
      <c r="B1" s="73" t="s">
        <v>17</v>
      </c>
      <c r="C1" s="74" t="s">
        <v>88</v>
      </c>
      <c r="D1" s="121">
        <v>120</v>
      </c>
      <c r="E1" s="75" t="s">
        <v>0</v>
      </c>
      <c r="F1" s="76"/>
      <c r="G1" s="77" t="s">
        <v>20</v>
      </c>
      <c r="H1" s="23" t="s">
        <v>179</v>
      </c>
      <c r="I1" s="3" t="s">
        <v>91</v>
      </c>
      <c r="J1" s="26">
        <v>740</v>
      </c>
      <c r="K1" s="24" t="s">
        <v>0</v>
      </c>
    </row>
    <row r="2" spans="1:11" ht="15.75" x14ac:dyDescent="0.2">
      <c r="A2" s="79"/>
      <c r="B2" s="80" t="s">
        <v>193</v>
      </c>
      <c r="C2" s="81" t="s">
        <v>213</v>
      </c>
      <c r="D2" s="82">
        <v>55</v>
      </c>
      <c r="E2" s="83"/>
      <c r="F2" s="76"/>
      <c r="G2" s="84"/>
      <c r="H2" s="6" t="s">
        <v>34</v>
      </c>
      <c r="I2" s="14" t="s">
        <v>92</v>
      </c>
      <c r="J2" s="27">
        <v>55</v>
      </c>
      <c r="K2" s="28" t="s">
        <v>7</v>
      </c>
    </row>
    <row r="3" spans="1:11" ht="15.75" x14ac:dyDescent="0.2">
      <c r="A3" s="79"/>
      <c r="B3" s="80" t="s">
        <v>29</v>
      </c>
      <c r="C3" s="81" t="s">
        <v>214</v>
      </c>
      <c r="D3" s="85">
        <v>8.9</v>
      </c>
      <c r="E3" s="83" t="s">
        <v>1</v>
      </c>
      <c r="F3" s="76"/>
      <c r="G3" s="84"/>
      <c r="H3" s="6" t="s">
        <v>155</v>
      </c>
      <c r="I3" s="4" t="s">
        <v>159</v>
      </c>
      <c r="J3" s="27">
        <v>16</v>
      </c>
      <c r="K3" s="28" t="s">
        <v>0</v>
      </c>
    </row>
    <row r="4" spans="1:11" ht="16.5" thickBot="1" x14ac:dyDescent="0.25">
      <c r="A4" s="86"/>
      <c r="B4" s="87" t="s">
        <v>18</v>
      </c>
      <c r="C4" s="88" t="s">
        <v>215</v>
      </c>
      <c r="D4" s="89">
        <v>750</v>
      </c>
      <c r="E4" s="90" t="s">
        <v>3</v>
      </c>
      <c r="F4" s="76"/>
      <c r="G4" s="84"/>
      <c r="H4" s="30" t="s">
        <v>31</v>
      </c>
      <c r="I4" s="4" t="s">
        <v>93</v>
      </c>
      <c r="J4" s="31">
        <f>Iteration!C135+J5</f>
        <v>8.4002310830121374</v>
      </c>
      <c r="K4" s="28" t="s">
        <v>1</v>
      </c>
    </row>
    <row r="5" spans="1:11" ht="15.75" x14ac:dyDescent="0.2">
      <c r="A5" s="77" t="s">
        <v>10</v>
      </c>
      <c r="B5" s="91" t="s">
        <v>42</v>
      </c>
      <c r="C5" s="73" t="s">
        <v>216</v>
      </c>
      <c r="D5" s="92">
        <v>1700</v>
      </c>
      <c r="E5" s="75" t="s">
        <v>3</v>
      </c>
      <c r="F5" s="76"/>
      <c r="G5" s="84"/>
      <c r="H5" s="30" t="s">
        <v>32</v>
      </c>
      <c r="I5" s="4" t="s">
        <v>94</v>
      </c>
      <c r="J5" s="33">
        <f>D19+Iteration!C10</f>
        <v>4.9305000975332973</v>
      </c>
      <c r="K5" s="28" t="s">
        <v>1</v>
      </c>
    </row>
    <row r="6" spans="1:11" ht="14.25" thickBot="1" x14ac:dyDescent="0.25">
      <c r="A6" s="34"/>
      <c r="B6" s="6" t="s">
        <v>19</v>
      </c>
      <c r="C6" s="14" t="s">
        <v>195</v>
      </c>
      <c r="D6" s="35">
        <v>17990</v>
      </c>
      <c r="E6" s="28" t="s">
        <v>196</v>
      </c>
      <c r="F6" s="25"/>
      <c r="G6" s="93"/>
      <c r="H6" s="36" t="s">
        <v>33</v>
      </c>
      <c r="I6" s="5" t="s">
        <v>95</v>
      </c>
      <c r="J6" s="37">
        <f>Ballistics!B12*TANH(Ballistics!B13*D3/J4+Ballistics!B14)+(D2-Ballistics!C12)*Ballistics!C14/(Ballistics!C13-Ballistics!C12)</f>
        <v>1.7480600218509246</v>
      </c>
      <c r="K6" s="29" t="s">
        <v>110</v>
      </c>
    </row>
    <row r="7" spans="1:11" ht="13.5" x14ac:dyDescent="0.2">
      <c r="A7" s="38" t="s">
        <v>154</v>
      </c>
      <c r="B7" s="39" t="s">
        <v>43</v>
      </c>
      <c r="C7" s="4" t="s">
        <v>197</v>
      </c>
      <c r="D7" s="40">
        <v>8</v>
      </c>
      <c r="E7" s="28" t="s">
        <v>0</v>
      </c>
      <c r="F7" s="25"/>
      <c r="G7" s="77" t="s">
        <v>16</v>
      </c>
      <c r="H7" s="41" t="s">
        <v>19</v>
      </c>
      <c r="I7" s="15" t="s">
        <v>96</v>
      </c>
      <c r="J7" s="35">
        <v>2500</v>
      </c>
      <c r="K7" s="24" t="s">
        <v>198</v>
      </c>
    </row>
    <row r="8" spans="1:11" ht="13.5" x14ac:dyDescent="0.2">
      <c r="A8" s="38"/>
      <c r="B8" s="30" t="s">
        <v>46</v>
      </c>
      <c r="C8" s="4" t="s">
        <v>231</v>
      </c>
      <c r="D8" s="128">
        <v>28</v>
      </c>
      <c r="E8" s="28" t="s">
        <v>0</v>
      </c>
      <c r="F8" s="25"/>
      <c r="G8" s="94"/>
      <c r="H8" s="6" t="s">
        <v>181</v>
      </c>
      <c r="I8" s="22" t="s">
        <v>182</v>
      </c>
      <c r="J8" s="35">
        <v>235</v>
      </c>
      <c r="K8" s="28" t="s">
        <v>0</v>
      </c>
    </row>
    <row r="9" spans="1:11" ht="13.5" x14ac:dyDescent="0.2">
      <c r="A9" s="38" t="s">
        <v>222</v>
      </c>
      <c r="B9" s="6" t="s">
        <v>77</v>
      </c>
      <c r="C9" s="4" t="s">
        <v>199</v>
      </c>
      <c r="D9" s="27">
        <v>17</v>
      </c>
      <c r="E9" s="28" t="s">
        <v>0</v>
      </c>
      <c r="F9" s="25"/>
      <c r="G9" s="95"/>
      <c r="H9" s="30" t="s">
        <v>28</v>
      </c>
      <c r="I9" s="6" t="s">
        <v>97</v>
      </c>
      <c r="J9" s="31">
        <f>Iteration!C135</f>
        <v>3.469730985478841</v>
      </c>
      <c r="K9" s="28" t="s">
        <v>1</v>
      </c>
    </row>
    <row r="10" spans="1:11" ht="14.25" thickBot="1" x14ac:dyDescent="0.25">
      <c r="A10" s="42"/>
      <c r="B10" s="6" t="s">
        <v>21</v>
      </c>
      <c r="C10" s="4" t="s">
        <v>200</v>
      </c>
      <c r="D10" s="43">
        <f>Iteration!C139</f>
        <v>127.36542665182088</v>
      </c>
      <c r="E10" s="28" t="s">
        <v>0</v>
      </c>
      <c r="F10" s="25"/>
      <c r="G10" s="96"/>
      <c r="H10" s="44" t="s">
        <v>180</v>
      </c>
      <c r="I10" s="5" t="s">
        <v>201</v>
      </c>
      <c r="J10" s="43">
        <f>Iteration!C142</f>
        <v>411.34116395618787</v>
      </c>
      <c r="K10" s="29" t="s">
        <v>0</v>
      </c>
    </row>
    <row r="11" spans="1:11" ht="13.5" x14ac:dyDescent="0.2">
      <c r="A11" s="38" t="s">
        <v>78</v>
      </c>
      <c r="B11" s="39" t="s">
        <v>44</v>
      </c>
      <c r="C11" s="45" t="s">
        <v>202</v>
      </c>
      <c r="D11" s="27">
        <v>26</v>
      </c>
      <c r="E11" s="28" t="s">
        <v>0</v>
      </c>
      <c r="F11" s="25"/>
      <c r="G11" s="97" t="s">
        <v>70</v>
      </c>
      <c r="H11" s="23" t="s">
        <v>22</v>
      </c>
      <c r="I11" s="3" t="s">
        <v>171</v>
      </c>
      <c r="J11" s="26">
        <v>6</v>
      </c>
      <c r="K11" s="24"/>
    </row>
    <row r="12" spans="1:11" ht="13.5" x14ac:dyDescent="0.2">
      <c r="A12" s="42"/>
      <c r="B12" s="46" t="s">
        <v>45</v>
      </c>
      <c r="C12" s="45" t="s">
        <v>203</v>
      </c>
      <c r="D12" s="27">
        <v>23</v>
      </c>
      <c r="E12" s="28" t="s">
        <v>0</v>
      </c>
      <c r="F12" s="25"/>
      <c r="G12" s="98" t="s">
        <v>71</v>
      </c>
      <c r="H12" s="6" t="s">
        <v>185</v>
      </c>
      <c r="I12" s="4" t="s">
        <v>184</v>
      </c>
      <c r="J12" s="47">
        <v>116.5</v>
      </c>
      <c r="K12" s="28" t="s">
        <v>0</v>
      </c>
    </row>
    <row r="13" spans="1:11" ht="13.5" x14ac:dyDescent="0.2">
      <c r="A13" s="38" t="s">
        <v>48</v>
      </c>
      <c r="B13" s="6" t="s">
        <v>77</v>
      </c>
      <c r="C13" s="4" t="s">
        <v>204</v>
      </c>
      <c r="D13" s="27">
        <v>23</v>
      </c>
      <c r="E13" s="28" t="s">
        <v>0</v>
      </c>
      <c r="F13" s="25"/>
      <c r="G13" s="99"/>
      <c r="H13" s="6" t="s">
        <v>188</v>
      </c>
      <c r="I13" s="4" t="s">
        <v>189</v>
      </c>
      <c r="J13" s="47">
        <v>0.221</v>
      </c>
      <c r="K13" s="28"/>
    </row>
    <row r="14" spans="1:11" ht="13.5" x14ac:dyDescent="0.2">
      <c r="A14" s="42"/>
      <c r="B14" s="6" t="s">
        <v>21</v>
      </c>
      <c r="C14" s="4" t="s">
        <v>205</v>
      </c>
      <c r="D14" s="43">
        <f>Iteration!C140</f>
        <v>40.79340939199129</v>
      </c>
      <c r="E14" s="28" t="s">
        <v>0</v>
      </c>
      <c r="F14" s="25"/>
      <c r="G14" s="99"/>
      <c r="H14" s="6" t="s">
        <v>186</v>
      </c>
      <c r="I14" s="4" t="s">
        <v>187</v>
      </c>
      <c r="J14" s="47">
        <v>90</v>
      </c>
      <c r="K14" s="28" t="s">
        <v>0</v>
      </c>
    </row>
    <row r="15" spans="1:11" ht="13.5" x14ac:dyDescent="0.2">
      <c r="A15" s="38" t="s">
        <v>82</v>
      </c>
      <c r="B15" s="30" t="s">
        <v>21</v>
      </c>
      <c r="C15" s="4" t="s">
        <v>206</v>
      </c>
      <c r="D15" s="48">
        <f>J1-J18-J3</f>
        <v>682</v>
      </c>
      <c r="E15" s="49" t="s">
        <v>0</v>
      </c>
      <c r="F15" s="25"/>
      <c r="G15" s="99"/>
      <c r="H15" s="6" t="s">
        <v>23</v>
      </c>
      <c r="I15" s="4" t="s">
        <v>172</v>
      </c>
      <c r="J15" s="27">
        <v>2</v>
      </c>
      <c r="K15" s="28" t="s">
        <v>0</v>
      </c>
    </row>
    <row r="16" spans="1:11" ht="13.5" x14ac:dyDescent="0.2">
      <c r="A16" s="42"/>
      <c r="B16" s="30" t="s">
        <v>27</v>
      </c>
      <c r="C16" s="4" t="s">
        <v>207</v>
      </c>
      <c r="D16" s="48">
        <f>SQRT(4*D19/(PI()*D17*D6/1000))*1000</f>
        <v>21.915674497958442</v>
      </c>
      <c r="E16" s="49" t="s">
        <v>0</v>
      </c>
      <c r="F16" s="25"/>
      <c r="G16" s="100"/>
      <c r="H16" s="6" t="s">
        <v>24</v>
      </c>
      <c r="I16" s="4" t="s">
        <v>98</v>
      </c>
      <c r="J16" s="27">
        <v>2</v>
      </c>
      <c r="K16" s="28" t="s">
        <v>0</v>
      </c>
    </row>
    <row r="17" spans="1:14" ht="13.5" x14ac:dyDescent="0.2">
      <c r="A17" s="50"/>
      <c r="B17" s="30" t="s">
        <v>40</v>
      </c>
      <c r="C17" s="4" t="s">
        <v>208</v>
      </c>
      <c r="D17" s="43">
        <f>Ballistics!E40</f>
        <v>669.79238754325263</v>
      </c>
      <c r="E17" s="49" t="s">
        <v>0</v>
      </c>
      <c r="F17" s="25"/>
      <c r="G17" s="100"/>
      <c r="H17" s="6" t="s">
        <v>19</v>
      </c>
      <c r="I17" s="14" t="s">
        <v>99</v>
      </c>
      <c r="J17" s="35">
        <v>7850</v>
      </c>
      <c r="K17" s="28" t="s">
        <v>196</v>
      </c>
      <c r="M17" s="101"/>
      <c r="N17" s="102"/>
    </row>
    <row r="18" spans="1:14" ht="13.5" x14ac:dyDescent="0.2">
      <c r="A18" s="50"/>
      <c r="B18" s="30" t="s">
        <v>26</v>
      </c>
      <c r="C18" s="4" t="s">
        <v>57</v>
      </c>
      <c r="D18" s="43">
        <f>D15/D16</f>
        <v>31.1192794939317</v>
      </c>
      <c r="E18" s="49"/>
      <c r="F18" s="25"/>
      <c r="G18" s="100"/>
      <c r="H18" s="6" t="s">
        <v>25</v>
      </c>
      <c r="I18" s="4" t="s">
        <v>100</v>
      </c>
      <c r="J18" s="27">
        <v>42</v>
      </c>
      <c r="K18" s="28" t="s">
        <v>0</v>
      </c>
    </row>
    <row r="19" spans="1:14" ht="15.75" customHeight="1" thickBot="1" x14ac:dyDescent="0.25">
      <c r="A19" s="52"/>
      <c r="B19" s="36" t="s">
        <v>28</v>
      </c>
      <c r="C19" s="5" t="s">
        <v>209</v>
      </c>
      <c r="D19" s="53">
        <f>Iteration!C127</f>
        <v>4.5453877266042806</v>
      </c>
      <c r="E19" s="29" t="s">
        <v>1</v>
      </c>
      <c r="F19" s="25"/>
      <c r="G19" s="95"/>
      <c r="H19" s="6" t="s">
        <v>30</v>
      </c>
      <c r="I19" s="4" t="s">
        <v>101</v>
      </c>
      <c r="J19" s="51">
        <v>0.04</v>
      </c>
      <c r="K19" s="28" t="s">
        <v>1</v>
      </c>
    </row>
    <row r="20" spans="1:14" ht="14.25" thickBot="1" x14ac:dyDescent="0.25">
      <c r="A20" s="97" t="s">
        <v>109</v>
      </c>
      <c r="B20" s="32" t="s">
        <v>87</v>
      </c>
      <c r="C20" s="54" t="s">
        <v>210</v>
      </c>
      <c r="D20" s="129">
        <v>7850</v>
      </c>
      <c r="E20" s="24" t="s">
        <v>196</v>
      </c>
      <c r="F20" s="25"/>
      <c r="G20" s="95"/>
      <c r="H20" s="30" t="s">
        <v>156</v>
      </c>
      <c r="I20" s="4" t="s">
        <v>102</v>
      </c>
      <c r="J20" s="33">
        <f>Iteration!C10</f>
        <v>0.38511237092901673</v>
      </c>
      <c r="K20" s="49" t="s">
        <v>1</v>
      </c>
      <c r="L20" s="110"/>
    </row>
    <row r="21" spans="1:14" x14ac:dyDescent="0.2">
      <c r="A21" s="103"/>
      <c r="B21" s="30" t="s">
        <v>157</v>
      </c>
      <c r="C21" s="6" t="s">
        <v>85</v>
      </c>
      <c r="D21" s="27">
        <v>260</v>
      </c>
      <c r="E21" s="59"/>
      <c r="F21" s="25"/>
      <c r="G21" s="97" t="s">
        <v>217</v>
      </c>
      <c r="H21" s="55" t="s">
        <v>37</v>
      </c>
      <c r="I21" s="56">
        <f>J6</f>
        <v>1.7480600218509246</v>
      </c>
      <c r="J21" s="57">
        <f>Ballistics!B46</f>
        <v>653.31341495557967</v>
      </c>
      <c r="K21" s="58" t="s">
        <v>0</v>
      </c>
    </row>
    <row r="22" spans="1:14" ht="15.75" customHeight="1" thickBot="1" x14ac:dyDescent="0.25">
      <c r="A22" s="104"/>
      <c r="B22" s="36" t="s">
        <v>47</v>
      </c>
      <c r="C22" s="63" t="s">
        <v>103</v>
      </c>
      <c r="D22" s="64">
        <v>0</v>
      </c>
      <c r="E22" s="29" t="s">
        <v>2</v>
      </c>
      <c r="F22" s="25"/>
      <c r="G22" s="98" t="s">
        <v>41</v>
      </c>
      <c r="H22" s="46" t="s">
        <v>38</v>
      </c>
      <c r="I22" s="60">
        <f>I21-J$2/1000</f>
        <v>1.6930600218509246</v>
      </c>
      <c r="J22" s="61">
        <f>Ballistics!C46</f>
        <v>634.01437879886839</v>
      </c>
      <c r="K22" s="62" t="s">
        <v>0</v>
      </c>
    </row>
    <row r="23" spans="1:14" ht="15.75" customHeight="1" x14ac:dyDescent="0.25">
      <c r="A23" s="77" t="s">
        <v>153</v>
      </c>
      <c r="B23" s="124" t="s">
        <v>62</v>
      </c>
      <c r="C23" s="125" t="s">
        <v>211</v>
      </c>
      <c r="D23" s="65">
        <f>Iteration!C147</f>
        <v>271.99168646794203</v>
      </c>
      <c r="E23" s="66" t="s">
        <v>3</v>
      </c>
      <c r="F23" s="25"/>
      <c r="G23" s="103"/>
      <c r="H23" s="46" t="s">
        <v>35</v>
      </c>
      <c r="I23" s="60">
        <f>I22-J$2/1000</f>
        <v>1.6380600218509247</v>
      </c>
      <c r="J23" s="61">
        <f>Ballistics!D46</f>
        <v>613.39890351412021</v>
      </c>
      <c r="K23" s="62" t="s">
        <v>0</v>
      </c>
    </row>
    <row r="24" spans="1:14" ht="14.25" thickBot="1" x14ac:dyDescent="0.3">
      <c r="A24" s="105"/>
      <c r="B24" s="126" t="s">
        <v>69</v>
      </c>
      <c r="C24" s="127" t="s">
        <v>212</v>
      </c>
      <c r="D24" s="67">
        <f>Iteration!C148</f>
        <v>104.04671582141651</v>
      </c>
      <c r="E24" s="68" t="s">
        <v>3</v>
      </c>
      <c r="F24" s="25"/>
      <c r="G24" s="103"/>
      <c r="H24" s="46" t="s">
        <v>39</v>
      </c>
      <c r="I24" s="115">
        <f>I23-J$2/1000</f>
        <v>1.5830600218509248</v>
      </c>
      <c r="J24" s="114">
        <f>Ballistics!E46</f>
        <v>591.37739096317478</v>
      </c>
      <c r="K24" s="62" t="s">
        <v>0</v>
      </c>
    </row>
    <row r="25" spans="1:14" ht="14.25" thickBot="1" x14ac:dyDescent="0.3">
      <c r="A25" s="106" t="s">
        <v>194</v>
      </c>
      <c r="B25" s="69" t="s">
        <v>234</v>
      </c>
      <c r="C25" s="70"/>
      <c r="D25" s="122">
        <f>Iteration!C142-Iteration!C118</f>
        <v>-7.3769123276861137E-3</v>
      </c>
      <c r="E25" s="71" t="s">
        <v>0</v>
      </c>
      <c r="F25" s="25"/>
      <c r="G25" s="116"/>
      <c r="H25" s="117"/>
      <c r="I25" s="118" t="s">
        <v>221</v>
      </c>
      <c r="J25" s="119" t="s">
        <v>220</v>
      </c>
      <c r="K25" s="120"/>
    </row>
    <row r="26" spans="1:14" x14ac:dyDescent="0.2">
      <c r="A26" s="78"/>
      <c r="B26" s="78"/>
      <c r="G26" s="78"/>
    </row>
    <row r="27" spans="1:14" x14ac:dyDescent="0.2">
      <c r="A27" s="78"/>
      <c r="B27" s="78"/>
      <c r="G27" s="78"/>
    </row>
    <row r="28" spans="1:14" x14ac:dyDescent="0.2">
      <c r="A28" s="78"/>
      <c r="B28" s="78"/>
      <c r="G28" s="78"/>
    </row>
    <row r="29" spans="1:14" x14ac:dyDescent="0.2">
      <c r="A29" s="78"/>
      <c r="B29" s="78"/>
      <c r="G29" s="78"/>
      <c r="K29" s="107"/>
    </row>
    <row r="30" spans="1:14" x14ac:dyDescent="0.2">
      <c r="A30" s="78"/>
      <c r="B30" s="78"/>
      <c r="G30" s="78"/>
    </row>
    <row r="31" spans="1:14" x14ac:dyDescent="0.2">
      <c r="A31" s="78"/>
      <c r="B31" s="78"/>
      <c r="G31" s="78"/>
      <c r="K31" s="107"/>
    </row>
    <row r="32" spans="1:14" x14ac:dyDescent="0.2">
      <c r="A32" s="78"/>
      <c r="B32" s="78"/>
      <c r="G32" s="78"/>
    </row>
    <row r="33" spans="1:14" x14ac:dyDescent="0.2">
      <c r="A33" s="78"/>
      <c r="B33" s="78"/>
    </row>
    <row r="36" spans="1:14" x14ac:dyDescent="0.2">
      <c r="A36" s="109"/>
    </row>
    <row r="37" spans="1:14" ht="18.75" customHeight="1" x14ac:dyDescent="0.2">
      <c r="A37" s="109"/>
      <c r="C37" s="110"/>
    </row>
    <row r="38" spans="1:14" x14ac:dyDescent="0.2">
      <c r="A38" s="109"/>
      <c r="C38" s="110"/>
      <c r="G38" s="111"/>
      <c r="H38" s="112"/>
      <c r="I38" s="110"/>
      <c r="J38" s="110"/>
    </row>
    <row r="39" spans="1:14" x14ac:dyDescent="0.2">
      <c r="A39" s="109"/>
      <c r="C39" s="110"/>
      <c r="G39" s="111"/>
      <c r="H39" s="112"/>
      <c r="I39" s="110"/>
      <c r="J39" s="110"/>
    </row>
    <row r="40" spans="1:14" x14ac:dyDescent="0.2">
      <c r="A40" s="109"/>
      <c r="C40" s="110"/>
      <c r="G40" s="110"/>
      <c r="H40" s="110"/>
      <c r="I40" s="110"/>
      <c r="J40" s="110"/>
    </row>
    <row r="41" spans="1:14" x14ac:dyDescent="0.2">
      <c r="A41" s="109"/>
      <c r="C41" s="110"/>
      <c r="K41" s="110"/>
    </row>
    <row r="42" spans="1:14" x14ac:dyDescent="0.2">
      <c r="A42" s="110"/>
      <c r="B42" s="110"/>
      <c r="C42" s="110"/>
      <c r="D42" s="110"/>
      <c r="E42" s="110"/>
      <c r="K42" s="110"/>
      <c r="L42" s="110"/>
      <c r="M42" s="110"/>
      <c r="N42" s="110"/>
    </row>
    <row r="43" spans="1:14" s="110" customFormat="1" x14ac:dyDescent="0.2">
      <c r="A43" s="78"/>
      <c r="B43" s="78"/>
      <c r="C43" s="78"/>
      <c r="D43" s="78"/>
      <c r="E43" s="78"/>
      <c r="F43" s="78"/>
      <c r="G43" s="108"/>
      <c r="H43" s="78"/>
      <c r="I43" s="78"/>
      <c r="J43" s="78"/>
    </row>
    <row r="44" spans="1:14" s="110" customFormat="1" x14ac:dyDescent="0.2">
      <c r="A44" s="78"/>
      <c r="B44" s="78"/>
      <c r="C44" s="78"/>
      <c r="D44" s="78"/>
      <c r="E44" s="78"/>
      <c r="F44" s="78"/>
      <c r="G44" s="108"/>
      <c r="H44" s="78"/>
      <c r="I44" s="78"/>
      <c r="J44" s="78"/>
    </row>
    <row r="45" spans="1:14" s="110" customFormat="1" x14ac:dyDescent="0.2">
      <c r="A45" s="78"/>
      <c r="B45" s="78"/>
      <c r="C45" s="78"/>
      <c r="D45" s="78"/>
      <c r="E45" s="78"/>
      <c r="F45" s="78"/>
      <c r="G45" s="108"/>
      <c r="H45" s="78"/>
      <c r="I45" s="78"/>
      <c r="J45" s="78"/>
      <c r="K45" s="78"/>
    </row>
    <row r="46" spans="1:14" s="110" customFormat="1" x14ac:dyDescent="0.2">
      <c r="A46" s="78"/>
      <c r="B46" s="78"/>
      <c r="C46" s="78"/>
      <c r="D46" s="78"/>
      <c r="E46" s="78"/>
      <c r="G46" s="108"/>
      <c r="H46" s="78"/>
      <c r="I46" s="78"/>
      <c r="J46" s="78"/>
      <c r="K46" s="78"/>
      <c r="L46" s="78"/>
      <c r="M46" s="78"/>
      <c r="N46" s="78"/>
    </row>
    <row r="47" spans="1:14" x14ac:dyDescent="0.2">
      <c r="A47" s="78"/>
      <c r="B47" s="78"/>
      <c r="F47" s="110"/>
    </row>
    <row r="48" spans="1:14" x14ac:dyDescent="0.2">
      <c r="A48" s="78"/>
      <c r="B48" s="78"/>
      <c r="F48" s="110"/>
    </row>
    <row r="56" spans="11:13" x14ac:dyDescent="0.2">
      <c r="K56" s="113"/>
    </row>
    <row r="57" spans="11:13" x14ac:dyDescent="0.2">
      <c r="K57" s="113"/>
      <c r="L57" s="113"/>
      <c r="M57" s="113"/>
    </row>
    <row r="58" spans="11:13" x14ac:dyDescent="0.2">
      <c r="L58" s="113"/>
      <c r="M58" s="113"/>
    </row>
    <row r="77" spans="7:7" x14ac:dyDescent="0.2">
      <c r="G77" s="78"/>
    </row>
    <row r="80" spans="7:7" x14ac:dyDescent="0.2">
      <c r="G80" s="78"/>
    </row>
    <row r="81" spans="1:7" x14ac:dyDescent="0.2">
      <c r="G81" s="78"/>
    </row>
    <row r="82" spans="1:7" x14ac:dyDescent="0.2">
      <c r="G82" s="78"/>
    </row>
    <row r="83" spans="1:7" x14ac:dyDescent="0.2">
      <c r="G83" s="78"/>
    </row>
    <row r="84" spans="1:7" x14ac:dyDescent="0.2">
      <c r="G84" s="78"/>
    </row>
    <row r="85" spans="1:7" x14ac:dyDescent="0.2">
      <c r="G85" s="78"/>
    </row>
    <row r="86" spans="1:7" x14ac:dyDescent="0.2">
      <c r="A86" s="78"/>
      <c r="G86" s="78"/>
    </row>
    <row r="87" spans="1:7" x14ac:dyDescent="0.2">
      <c r="A87" s="78"/>
      <c r="B87" s="78"/>
      <c r="G87" s="78"/>
    </row>
    <row r="88" spans="1:7" x14ac:dyDescent="0.2">
      <c r="A88" s="78"/>
      <c r="B88" s="78"/>
      <c r="G88" s="78"/>
    </row>
    <row r="89" spans="1:7" x14ac:dyDescent="0.2">
      <c r="A89" s="78"/>
      <c r="B89" s="78"/>
      <c r="G89" s="78"/>
    </row>
    <row r="90" spans="1:7" x14ac:dyDescent="0.2">
      <c r="A90" s="78"/>
      <c r="B90" s="78"/>
      <c r="G90" s="78"/>
    </row>
    <row r="91" spans="1:7" x14ac:dyDescent="0.2">
      <c r="A91" s="78"/>
      <c r="B91" s="78"/>
      <c r="G91" s="78"/>
    </row>
    <row r="92" spans="1:7" x14ac:dyDescent="0.2">
      <c r="A92" s="78"/>
      <c r="B92" s="78"/>
      <c r="G92" s="78"/>
    </row>
    <row r="93" spans="1:7" x14ac:dyDescent="0.2">
      <c r="A93" s="78"/>
      <c r="B93" s="78"/>
      <c r="G93" s="78"/>
    </row>
    <row r="94" spans="1:7" x14ac:dyDescent="0.2">
      <c r="A94" s="78"/>
      <c r="B94" s="78"/>
      <c r="G94" s="78"/>
    </row>
    <row r="95" spans="1:7" x14ac:dyDescent="0.2">
      <c r="A95" s="78"/>
      <c r="B95" s="78"/>
      <c r="G95" s="78"/>
    </row>
    <row r="96" spans="1:7" x14ac:dyDescent="0.2">
      <c r="A96" s="78"/>
      <c r="B96" s="78"/>
      <c r="G96" s="78"/>
    </row>
    <row r="97" s="78" customFormat="1" x14ac:dyDescent="0.2"/>
    <row r="98" s="78" customFormat="1" x14ac:dyDescent="0.2"/>
    <row r="99" s="78" customFormat="1" x14ac:dyDescent="0.2"/>
    <row r="100" s="78" customFormat="1" x14ac:dyDescent="0.2"/>
    <row r="101" s="78" customFormat="1" x14ac:dyDescent="0.2"/>
    <row r="102" s="78" customFormat="1" x14ac:dyDescent="0.2"/>
    <row r="103" s="78" customFormat="1" x14ac:dyDescent="0.2"/>
    <row r="104" s="78" customFormat="1" x14ac:dyDescent="0.2"/>
    <row r="105" s="78" customFormat="1" x14ac:dyDescent="0.2"/>
    <row r="106" s="78" customFormat="1" x14ac:dyDescent="0.2"/>
    <row r="107" s="78" customFormat="1" x14ac:dyDescent="0.2"/>
    <row r="108" s="78" customFormat="1" x14ac:dyDescent="0.2"/>
    <row r="109" s="78" customFormat="1" x14ac:dyDescent="0.2"/>
    <row r="110" s="78" customFormat="1" x14ac:dyDescent="0.2"/>
    <row r="111" s="78" customFormat="1" x14ac:dyDescent="0.2"/>
    <row r="112" s="78" customFormat="1" x14ac:dyDescent="0.2"/>
    <row r="113" s="78" customFormat="1" x14ac:dyDescent="0.2"/>
    <row r="114" s="78" customFormat="1" x14ac:dyDescent="0.2"/>
    <row r="115" s="78" customFormat="1" x14ac:dyDescent="0.2"/>
    <row r="116" s="78" customFormat="1" x14ac:dyDescent="0.2"/>
    <row r="117" s="78" customFormat="1" x14ac:dyDescent="0.2"/>
    <row r="118" s="78" customFormat="1" x14ac:dyDescent="0.2"/>
    <row r="119" s="78" customFormat="1" x14ac:dyDescent="0.2"/>
    <row r="120" s="78" customFormat="1" x14ac:dyDescent="0.2"/>
    <row r="121" s="78" customFormat="1" x14ac:dyDescent="0.2"/>
    <row r="122" s="78" customFormat="1" x14ac:dyDescent="0.2"/>
    <row r="123" s="78" customFormat="1" x14ac:dyDescent="0.2"/>
    <row r="124" s="78" customFormat="1" x14ac:dyDescent="0.2"/>
    <row r="125" s="78" customFormat="1" x14ac:dyDescent="0.2"/>
    <row r="126" s="78" customFormat="1" x14ac:dyDescent="0.2"/>
    <row r="127" s="78" customFormat="1" x14ac:dyDescent="0.2"/>
    <row r="128" s="78" customFormat="1" x14ac:dyDescent="0.2"/>
    <row r="129" s="78" customFormat="1" x14ac:dyDescent="0.2"/>
    <row r="130" s="78" customFormat="1" x14ac:dyDescent="0.2"/>
    <row r="131" s="78" customFormat="1" x14ac:dyDescent="0.2"/>
    <row r="132" s="78" customFormat="1" x14ac:dyDescent="0.2"/>
    <row r="133" s="78" customFormat="1" x14ac:dyDescent="0.2"/>
    <row r="134" s="78" customFormat="1" x14ac:dyDescent="0.2"/>
    <row r="135" s="78" customFormat="1" x14ac:dyDescent="0.2"/>
    <row r="136" s="78" customFormat="1" x14ac:dyDescent="0.2"/>
    <row r="137" s="78" customFormat="1" x14ac:dyDescent="0.2"/>
    <row r="138" s="78" customFormat="1" x14ac:dyDescent="0.2"/>
    <row r="139" s="78" customFormat="1" x14ac:dyDescent="0.2"/>
    <row r="140" s="78" customFormat="1" x14ac:dyDescent="0.2"/>
    <row r="141" s="78" customFormat="1" x14ac:dyDescent="0.2"/>
    <row r="142" s="78" customFormat="1" x14ac:dyDescent="0.2"/>
    <row r="143" s="78" customFormat="1" x14ac:dyDescent="0.2"/>
    <row r="144" s="78" customFormat="1" x14ac:dyDescent="0.2"/>
    <row r="145" spans="1:7" x14ac:dyDescent="0.2">
      <c r="A145" s="78"/>
      <c r="B145" s="78"/>
      <c r="G145" s="78"/>
    </row>
    <row r="146" spans="1:7" x14ac:dyDescent="0.2">
      <c r="A146" s="78"/>
      <c r="B146" s="78"/>
      <c r="G146" s="78"/>
    </row>
    <row r="147" spans="1:7" x14ac:dyDescent="0.2">
      <c r="A147" s="78"/>
      <c r="B147" s="78"/>
      <c r="G147" s="78"/>
    </row>
    <row r="148" spans="1:7" x14ac:dyDescent="0.2">
      <c r="A148" s="78"/>
      <c r="B148" s="78"/>
      <c r="G148" s="78"/>
    </row>
    <row r="149" spans="1:7" x14ac:dyDescent="0.2">
      <c r="A149" s="78"/>
      <c r="B149" s="78"/>
      <c r="G149" s="78"/>
    </row>
    <row r="150" spans="1:7" x14ac:dyDescent="0.2">
      <c r="A150" s="78"/>
      <c r="B150" s="78"/>
      <c r="G150" s="78"/>
    </row>
    <row r="151" spans="1:7" x14ac:dyDescent="0.2">
      <c r="A151" s="78"/>
      <c r="B151" s="78"/>
      <c r="G151" s="78"/>
    </row>
    <row r="152" spans="1:7" x14ac:dyDescent="0.2">
      <c r="A152" s="78"/>
      <c r="B152" s="78"/>
      <c r="G152" s="78"/>
    </row>
    <row r="153" spans="1:7" x14ac:dyDescent="0.2">
      <c r="A153" s="78"/>
      <c r="B153" s="78"/>
      <c r="G153" s="78"/>
    </row>
    <row r="154" spans="1:7" x14ac:dyDescent="0.2">
      <c r="A154" s="78"/>
      <c r="B154" s="78"/>
      <c r="G154" s="78"/>
    </row>
    <row r="155" spans="1:7" x14ac:dyDescent="0.2">
      <c r="A155" s="78"/>
      <c r="B155" s="78"/>
    </row>
    <row r="156" spans="1:7" x14ac:dyDescent="0.2">
      <c r="A156" s="78"/>
      <c r="B156" s="78"/>
    </row>
    <row r="157" spans="1:7" x14ac:dyDescent="0.2">
      <c r="A157" s="78"/>
      <c r="B157" s="78"/>
    </row>
    <row r="158" spans="1:7" x14ac:dyDescent="0.2">
      <c r="A158" s="78"/>
      <c r="B158" s="78"/>
    </row>
    <row r="159" spans="1:7" x14ac:dyDescent="0.2">
      <c r="A159" s="78"/>
      <c r="B159" s="78"/>
    </row>
    <row r="160" spans="1:7" x14ac:dyDescent="0.2">
      <c r="A160" s="78"/>
      <c r="B160" s="78"/>
    </row>
    <row r="161" spans="2:2" x14ac:dyDescent="0.2">
      <c r="B161" s="78"/>
    </row>
  </sheetData>
  <sheetProtection sheet="1" objects="1" scenarios="1" selectLockedCells="1"/>
  <phoneticPr fontId="2" type="noConversion"/>
  <printOptions horizontalCentered="1" verticalCentered="1"/>
  <pageMargins left="7.874015748031496E-2" right="0.19685039370078741" top="0.70866141732283472" bottom="0.35433070866141736" header="0.31496062992125984" footer="0.19685039370078741"/>
  <pageSetup paperSize="9" orientation="landscape" horizontalDpi="4294967293" verticalDpi="1200" r:id="rId1"/>
  <headerFooter alignWithMargins="0">
    <oddHeader>&amp;C&amp;"Arial,Fett"&amp;13 120mm Smooth Bore - Design of Tungsten Penetrators and Corresponding Sabots</oddHeader>
    <oddFooter xml:space="preserve">&amp;LPenetrator Design V3.3&amp;RW. Odermatt / January 2011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8"/>
  <sheetViews>
    <sheetView workbookViewId="0">
      <selection activeCell="I28" sqref="I28"/>
    </sheetView>
  </sheetViews>
  <sheetFormatPr defaultColWidth="11.42578125" defaultRowHeight="12.75" x14ac:dyDescent="0.2"/>
  <cols>
    <col min="1" max="1" width="25.28515625" style="123" customWidth="1"/>
    <col min="2" max="2" width="13.140625" style="123" customWidth="1"/>
    <col min="3" max="3" width="9.7109375" style="123" customWidth="1"/>
    <col min="4" max="4" width="7" style="123" customWidth="1"/>
    <col min="5" max="5" width="4.28515625" style="130" customWidth="1"/>
    <col min="6" max="6" width="11.85546875" style="123" customWidth="1"/>
    <col min="7" max="7" width="11.42578125" style="123"/>
    <col min="8" max="8" width="7" style="123" customWidth="1"/>
    <col min="9" max="9" width="6.5703125" style="131" customWidth="1"/>
    <col min="10" max="10" width="4.85546875" style="123" customWidth="1"/>
    <col min="11" max="11" width="6.28515625" style="130" customWidth="1"/>
    <col min="12" max="12" width="9" style="123" customWidth="1"/>
    <col min="13" max="13" width="8" style="123" customWidth="1"/>
    <col min="14" max="14" width="8.5703125" style="123" customWidth="1"/>
    <col min="15" max="15" width="8.28515625" style="123" customWidth="1"/>
    <col min="16" max="16384" width="11.42578125" style="123"/>
  </cols>
  <sheetData>
    <row r="1" spans="1:14" s="1" customFormat="1" ht="18" x14ac:dyDescent="0.25">
      <c r="A1" s="260" t="s">
        <v>80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9"/>
      <c r="N1" s="9"/>
    </row>
    <row r="2" spans="1:14" ht="18" x14ac:dyDescent="0.25">
      <c r="A2" s="260" t="s">
        <v>81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9"/>
      <c r="N2" s="9"/>
    </row>
    <row r="3" spans="1:14" ht="18" x14ac:dyDescent="0.25">
      <c r="A3" s="7"/>
      <c r="B3" s="7"/>
      <c r="C3" s="7"/>
      <c r="D3" s="7"/>
      <c r="E3" s="7"/>
      <c r="F3" s="7"/>
      <c r="G3" s="7"/>
      <c r="H3" s="7"/>
      <c r="I3" s="21"/>
      <c r="J3" s="7"/>
      <c r="K3" s="7"/>
      <c r="L3" s="7"/>
      <c r="M3" s="9"/>
      <c r="N3" s="9"/>
    </row>
    <row r="4" spans="1:14" ht="14.25" customHeight="1" x14ac:dyDescent="0.25">
      <c r="A4" s="20" t="s">
        <v>139</v>
      </c>
    </row>
    <row r="5" spans="1:14" x14ac:dyDescent="0.2">
      <c r="A5" s="132"/>
      <c r="B5" s="133"/>
      <c r="C5" s="134"/>
      <c r="D5" s="135"/>
      <c r="E5" s="136"/>
      <c r="F5" s="137" t="s">
        <v>170</v>
      </c>
      <c r="G5" s="134"/>
    </row>
    <row r="6" spans="1:14" x14ac:dyDescent="0.2">
      <c r="A6" s="8" t="s">
        <v>223</v>
      </c>
      <c r="B6" s="138" t="s">
        <v>224</v>
      </c>
      <c r="C6" s="139">
        <f>0.6*'MainSheet V3.4'!D15</f>
        <v>409.2</v>
      </c>
      <c r="D6" s="123" t="s">
        <v>0</v>
      </c>
      <c r="F6" s="19" t="s">
        <v>236</v>
      </c>
      <c r="G6" s="140"/>
      <c r="H6" s="140"/>
      <c r="I6" s="141"/>
      <c r="J6" s="140"/>
      <c r="K6" s="142"/>
      <c r="L6" s="131"/>
    </row>
    <row r="7" spans="1:14" ht="15.75" x14ac:dyDescent="0.3">
      <c r="A7" s="8" t="s">
        <v>76</v>
      </c>
      <c r="B7" s="138" t="s">
        <v>90</v>
      </c>
      <c r="C7" s="139">
        <f>6*'MainSheet V3.4'!D9</f>
        <v>102</v>
      </c>
      <c r="D7" s="123" t="s">
        <v>0</v>
      </c>
      <c r="F7" s="19" t="s">
        <v>183</v>
      </c>
      <c r="G7" s="140"/>
      <c r="H7" s="140"/>
      <c r="I7" s="141"/>
      <c r="J7" s="140"/>
      <c r="K7" s="142"/>
      <c r="L7" s="131"/>
    </row>
    <row r="8" spans="1:14" x14ac:dyDescent="0.2">
      <c r="A8" s="17"/>
      <c r="B8" s="143"/>
      <c r="C8" s="144"/>
      <c r="D8" s="145"/>
      <c r="E8" s="146"/>
      <c r="F8" s="18"/>
      <c r="G8" s="147"/>
      <c r="H8" s="148"/>
      <c r="I8" s="149"/>
      <c r="J8" s="134"/>
      <c r="L8" s="131"/>
    </row>
    <row r="9" spans="1:14" x14ac:dyDescent="0.2">
      <c r="A9" s="137" t="s">
        <v>79</v>
      </c>
      <c r="D9" s="145"/>
      <c r="E9" s="146"/>
      <c r="F9" s="18"/>
      <c r="G9" s="147"/>
      <c r="H9" s="148"/>
      <c r="I9" s="149"/>
      <c r="J9" s="134"/>
      <c r="L9" s="131"/>
    </row>
    <row r="10" spans="1:14" ht="15.75" x14ac:dyDescent="0.3">
      <c r="A10" s="150" t="s">
        <v>28</v>
      </c>
      <c r="B10" s="151" t="s">
        <v>158</v>
      </c>
      <c r="C10" s="152">
        <f>'MainSheet V3.4'!J12*'MainSheet V3.4'!J17*('MainSheet V3.4'!J11/4*(1+'MainSheet V3.4'!J13)*('MainSheet V3.4'!J14-'MainSheet V3.4'!D13)*'MainSheet V3.4'!J15+PI()*'MainSheet V3.4'!J16*('MainSheet V3.4'!D13-'MainSheet V3.4'!J16))*0.000000001+'MainSheet V3.4'!J19</f>
        <v>0.38511237092901673</v>
      </c>
      <c r="D10" s="153" t="s">
        <v>1</v>
      </c>
      <c r="E10" s="146"/>
      <c r="F10" s="18"/>
      <c r="G10" s="147"/>
      <c r="H10" s="148"/>
      <c r="I10" s="149"/>
      <c r="J10" s="134"/>
      <c r="L10" s="131"/>
    </row>
    <row r="11" spans="1:14" x14ac:dyDescent="0.2">
      <c r="A11" s="132"/>
      <c r="B11" s="133"/>
      <c r="C11" s="134"/>
      <c r="D11" s="154"/>
      <c r="E11" s="136"/>
      <c r="F11" s="134"/>
      <c r="G11" s="134"/>
    </row>
    <row r="12" spans="1:14" x14ac:dyDescent="0.2">
      <c r="A12" s="155" t="s">
        <v>53</v>
      </c>
      <c r="D12" s="153"/>
      <c r="E12" s="136"/>
      <c r="F12" s="134"/>
      <c r="M12" s="134"/>
    </row>
    <row r="13" spans="1:14" ht="15.75" x14ac:dyDescent="0.3">
      <c r="A13" s="150" t="s">
        <v>218</v>
      </c>
      <c r="B13" s="133" t="s">
        <v>219</v>
      </c>
      <c r="C13" s="156">
        <f>ROUNDUP(Iteration!C$6*6/'MainSheet V3.4'!D$12,0)</f>
        <v>107</v>
      </c>
      <c r="D13" s="153"/>
      <c r="E13" s="136"/>
      <c r="F13" s="134"/>
      <c r="M13" s="134"/>
    </row>
    <row r="14" spans="1:14" ht="15.75" x14ac:dyDescent="0.3">
      <c r="A14" s="157" t="s">
        <v>154</v>
      </c>
      <c r="B14" s="133" t="s">
        <v>233</v>
      </c>
      <c r="C14" s="158">
        <f>PI()/12*'MainSheet V3.4'!D$8*'MainSheet V3.4'!D$9^2*(1+C15+C15^2)*0.000000001*'MainSheet V3.4'!D$6</f>
        <v>6.4486184347249717E-2</v>
      </c>
      <c r="D14" s="153" t="s">
        <v>1</v>
      </c>
      <c r="E14" s="136"/>
      <c r="F14" s="153"/>
      <c r="M14" s="134"/>
    </row>
    <row r="15" spans="1:14" ht="15.75" x14ac:dyDescent="0.3">
      <c r="A15" s="159" t="s">
        <v>150</v>
      </c>
      <c r="B15" s="133" t="s">
        <v>149</v>
      </c>
      <c r="C15" s="158">
        <f>'MainSheet V3.4'!$D$7/'MainSheet V3.4'!$D$9</f>
        <v>0.47058823529411764</v>
      </c>
      <c r="D15" s="145"/>
      <c r="F15" s="153"/>
      <c r="M15" s="134"/>
    </row>
    <row r="16" spans="1:14" ht="15.75" x14ac:dyDescent="0.3">
      <c r="A16" s="150" t="s">
        <v>229</v>
      </c>
      <c r="B16" s="133" t="s">
        <v>112</v>
      </c>
      <c r="C16" s="160">
        <f>PI()*'MainSheet V3.4'!D$9^2*Iteration!C$7/4*'MainSheet V3.4'!D$6*0.000000001</f>
        <v>0.41650388742073335</v>
      </c>
      <c r="D16" s="135" t="s">
        <v>1</v>
      </c>
    </row>
    <row r="17" spans="1:14" ht="15.75" x14ac:dyDescent="0.3">
      <c r="A17" s="150" t="s">
        <v>113</v>
      </c>
      <c r="B17" s="133" t="s">
        <v>114</v>
      </c>
      <c r="C17" s="160">
        <f>PI()*'MainSheet V3.4'!D$12^2*Iteration!C6/4*'MainSheet V3.4'!D$6*0.000000001</f>
        <v>3.0585271625458441</v>
      </c>
      <c r="D17" s="153" t="s">
        <v>1</v>
      </c>
    </row>
    <row r="18" spans="1:14" ht="15.75" x14ac:dyDescent="0.3">
      <c r="A18" s="161" t="s">
        <v>75</v>
      </c>
      <c r="B18" s="133" t="s">
        <v>115</v>
      </c>
      <c r="C18" s="160">
        <f>C13*PI()*'MainSheet V3.4'!D$12/2880*(22*'MainSheet V3.4'!D$11^2+13*'MainSheet V3.4'!D$11*'MainSheet V3.4'!D$12-35*'MainSheet V3.4'!D$12^2)*'MainSheet V3.4'!D$6*0.000000001</f>
        <v>0.19950572237201181</v>
      </c>
      <c r="D18" s="153" t="s">
        <v>1</v>
      </c>
    </row>
    <row r="19" spans="1:14" ht="15.75" x14ac:dyDescent="0.3">
      <c r="A19" s="157" t="s">
        <v>48</v>
      </c>
      <c r="B19" s="133" t="s">
        <v>116</v>
      </c>
      <c r="C19" s="160">
        <f>PI()*'MainSheet V3.4'!$D$13^2*('MainSheet V3.4'!$D$15-'MainSheet V3.4'!$D$8-Iteration!C6-Iteration!C7-'MainSheet V3.4'!$J$12+'MainSheet V3.4'!$J$18)/4*'MainSheet V3.4'!$D$6*0.000000001</f>
        <v>0.51050196774653278</v>
      </c>
      <c r="D19" s="153" t="s">
        <v>1</v>
      </c>
    </row>
    <row r="20" spans="1:14" ht="16.5" thickBot="1" x14ac:dyDescent="0.35">
      <c r="A20" s="157" t="s">
        <v>55</v>
      </c>
      <c r="B20" s="133" t="s">
        <v>117</v>
      </c>
      <c r="C20" s="160">
        <f>PI()*('MainSheet V3.4'!D$13-2*'MainSheet V3.4'!J$16)^2/4*('MainSheet V3.4'!J$12-'MainSheet V3.4'!J$18)*'MainSheet V3.4'!D$6*0.000000001</f>
        <v>0.38000080738981312</v>
      </c>
      <c r="D20" s="153" t="s">
        <v>1</v>
      </c>
      <c r="E20" s="146"/>
    </row>
    <row r="21" spans="1:14" ht="16.5" thickBot="1" x14ac:dyDescent="0.35">
      <c r="A21" s="162" t="s">
        <v>83</v>
      </c>
      <c r="B21" s="163" t="s">
        <v>89</v>
      </c>
      <c r="C21" s="164">
        <f>SUM(C16:C20)+$C$14</f>
        <v>4.6295257318221852</v>
      </c>
      <c r="D21" s="153" t="s">
        <v>1</v>
      </c>
      <c r="E21" s="146"/>
      <c r="F21" s="165"/>
      <c r="G21" s="151"/>
      <c r="H21" s="149"/>
      <c r="I21" s="166"/>
    </row>
    <row r="22" spans="1:14" x14ac:dyDescent="0.2">
      <c r="A22" s="150"/>
      <c r="B22" s="133"/>
      <c r="C22" s="134"/>
      <c r="D22" s="153"/>
    </row>
    <row r="23" spans="1:14" x14ac:dyDescent="0.2">
      <c r="A23" s="155" t="s">
        <v>56</v>
      </c>
      <c r="D23" s="145"/>
      <c r="G23" s="145"/>
      <c r="J23" s="145"/>
      <c r="M23" s="145"/>
      <c r="N23" s="145"/>
    </row>
    <row r="24" spans="1:14" ht="15.75" x14ac:dyDescent="0.3">
      <c r="A24" s="167" t="s">
        <v>48</v>
      </c>
      <c r="B24" s="167" t="s">
        <v>147</v>
      </c>
      <c r="C24" s="160">
        <f>PI()*F24*'MainSheet V3.4'!J$7/6*(2*(I$24^2+I$25^2+I$24*I$25)+3*'MainSheet V3.4'!D$12*(I$24+I$25))*10^-9</f>
        <v>0.88219559513469636</v>
      </c>
      <c r="D24" s="153" t="s">
        <v>1</v>
      </c>
      <c r="E24" s="168" t="s">
        <v>160</v>
      </c>
      <c r="F24" s="169">
        <f>Iteration!C6-F25-F26-F27</f>
        <v>174.2</v>
      </c>
      <c r="G24" s="153" t="s">
        <v>0</v>
      </c>
      <c r="H24" s="170" t="s">
        <v>164</v>
      </c>
      <c r="I24" s="169">
        <f>0.2*'MainSheet V3.4'!D$12</f>
        <v>4.6000000000000005</v>
      </c>
      <c r="J24" s="153" t="s">
        <v>0</v>
      </c>
      <c r="K24" s="136" t="s">
        <v>9</v>
      </c>
      <c r="L24" s="171">
        <f>(I27-I24)/(F26+F27)</f>
        <v>0.12710997442455241</v>
      </c>
      <c r="M24" s="145"/>
      <c r="N24" s="145"/>
    </row>
    <row r="25" spans="1:14" ht="15.75" x14ac:dyDescent="0.3">
      <c r="A25" s="167" t="s">
        <v>36</v>
      </c>
      <c r="B25" s="167" t="s">
        <v>148</v>
      </c>
      <c r="C25" s="160">
        <f>PI()*(F$26+F$27)*'MainSheet V3.4'!J$7/6*(2*(I$27^2+I$27*I$24+I$24^2)+3*'MainSheet V3.4'!D$12*(I$27+I$24))*10^-9</f>
        <v>1.0922163084358358</v>
      </c>
      <c r="D25" s="153" t="s">
        <v>1</v>
      </c>
      <c r="E25" s="168" t="s">
        <v>161</v>
      </c>
      <c r="F25" s="169">
        <f>40*'MainSheet V3.4'!D$4/Ballistics!$D$4</f>
        <v>42.25352112676056</v>
      </c>
      <c r="G25" s="153" t="s">
        <v>0</v>
      </c>
      <c r="H25" s="170" t="s">
        <v>165</v>
      </c>
      <c r="I25" s="169">
        <f>0.55*I26</f>
        <v>26.675000000000001</v>
      </c>
      <c r="J25" s="153" t="s">
        <v>0</v>
      </c>
      <c r="K25" s="172" t="s">
        <v>238</v>
      </c>
      <c r="L25" s="173">
        <f>1/(1+L24)*(F27+'MainSheet V3.4'!D$1/2-'MainSheet V3.4'!D$12/2-I24)</f>
        <v>61.129793510324482</v>
      </c>
      <c r="M25" s="261" t="s">
        <v>235</v>
      </c>
      <c r="N25" s="262"/>
    </row>
    <row r="26" spans="1:14" ht="15.75" x14ac:dyDescent="0.3">
      <c r="A26" s="167" t="s">
        <v>63</v>
      </c>
      <c r="B26" s="167" t="s">
        <v>173</v>
      </c>
      <c r="C26" s="160">
        <f>PI()/4*F$25*('MainSheet V3.4'!D$1^2-'MainSheet V3.4'!D$12^2)*'MainSheet V3.4'!J$7*10^-9</f>
        <v>1.1508018934316202</v>
      </c>
      <c r="D26" s="174" t="s">
        <v>1</v>
      </c>
      <c r="E26" s="168" t="s">
        <v>162</v>
      </c>
      <c r="F26" s="169">
        <f>'MainSheet V3.4'!$J$8-Iteration!$F25-Iteration!F27</f>
        <v>167.74647887323943</v>
      </c>
      <c r="G26" s="153" t="s">
        <v>0</v>
      </c>
      <c r="H26" s="170" t="s">
        <v>166</v>
      </c>
      <c r="I26" s="169">
        <f>('MainSheet V3.4'!D$1-'MainSheet V3.4'!D$12)/2</f>
        <v>48.5</v>
      </c>
      <c r="J26" s="153" t="s">
        <v>0</v>
      </c>
      <c r="K26" s="175" t="s">
        <v>239</v>
      </c>
      <c r="L26" s="176">
        <f>L25*L24+I24</f>
        <v>12.370206489675514</v>
      </c>
      <c r="M26" s="263"/>
      <c r="N26" s="264"/>
    </row>
    <row r="27" spans="1:14" ht="15.75" x14ac:dyDescent="0.3">
      <c r="A27" s="167" t="s">
        <v>65</v>
      </c>
      <c r="B27" s="167" t="s">
        <v>174</v>
      </c>
      <c r="C27" s="160">
        <f>PI()*'MainSheet V3.4'!$J$7*Iteration!$I$29/6*(3*'MainSheet V3.4'!$D$1*Iteration!$I$29-4*Iteration!$I$29^2+6*'MainSheet V3.4'!$D$1*Iteration!$F27-6*Iteration!$F27*Iteration!$I$29)*0.000000001+PI()*'MainSheet V3.4'!$J$7*SQRT(2)*Iteration!$I$28/4*(('MainSheet V3.4'!$D$1-2*Iteration!$I$29)^2-('MainSheet V3.4'!$D$12+Iteration!$L$26+Iteration!$L$28)^2)*0.000000001</f>
        <v>0.36162003874567894</v>
      </c>
      <c r="D27" s="174" t="s">
        <v>1</v>
      </c>
      <c r="E27" s="168" t="s">
        <v>163</v>
      </c>
      <c r="F27" s="169">
        <f>25</f>
        <v>25</v>
      </c>
      <c r="G27" s="153" t="s">
        <v>0</v>
      </c>
      <c r="H27" s="170" t="s">
        <v>167</v>
      </c>
      <c r="I27" s="169">
        <f>0.6*I26</f>
        <v>29.099999999999998</v>
      </c>
      <c r="J27" s="153" t="s">
        <v>0</v>
      </c>
      <c r="K27" s="172" t="s">
        <v>240</v>
      </c>
      <c r="L27" s="177">
        <f>L25-I28*SQRT(2)</f>
        <v>49.816085011339723</v>
      </c>
      <c r="M27" s="263"/>
      <c r="N27" s="264"/>
    </row>
    <row r="28" spans="1:14" ht="16.5" thickBot="1" x14ac:dyDescent="0.35">
      <c r="A28" s="167" t="s">
        <v>54</v>
      </c>
      <c r="B28" s="167" t="s">
        <v>175</v>
      </c>
      <c r="C28" s="160">
        <f>0-C18/'MainSheet V3.4'!D$6*'MainSheet V3.4'!J$7</f>
        <v>-2.7724530624237329E-2</v>
      </c>
      <c r="D28" s="174" t="s">
        <v>1</v>
      </c>
      <c r="F28" s="132"/>
      <c r="H28" s="170" t="s">
        <v>168</v>
      </c>
      <c r="I28" s="169">
        <f>8*'MainSheet V3.4'!D$1/Ballistics!$D$3</f>
        <v>8</v>
      </c>
      <c r="J28" s="153" t="s">
        <v>0</v>
      </c>
      <c r="K28" s="178" t="s">
        <v>241</v>
      </c>
      <c r="L28" s="179">
        <f>L27*L24+I24</f>
        <v>10.932121291722721</v>
      </c>
      <c r="M28" s="263"/>
      <c r="N28" s="264"/>
    </row>
    <row r="29" spans="1:14" ht="16.5" customHeight="1" thickBot="1" x14ac:dyDescent="0.35">
      <c r="A29" s="180" t="s">
        <v>56</v>
      </c>
      <c r="B29" s="181" t="s">
        <v>118</v>
      </c>
      <c r="C29" s="164">
        <f>SUM(C24:C28)</f>
        <v>3.4591093051235937</v>
      </c>
      <c r="D29" s="153" t="s">
        <v>1</v>
      </c>
      <c r="E29" s="168"/>
      <c r="F29" s="132"/>
      <c r="H29" s="170" t="s">
        <v>169</v>
      </c>
      <c r="I29" s="169">
        <f>6*'MainSheet V3.4'!$D$1/Ballistics!$D$3</f>
        <v>6</v>
      </c>
      <c r="J29" s="153" t="s">
        <v>0</v>
      </c>
      <c r="K29" s="172" t="s">
        <v>242</v>
      </c>
      <c r="L29" s="173">
        <f>F27-I28*SQRT(2)+I29</f>
        <v>19.686291501015241</v>
      </c>
      <c r="M29" s="263"/>
      <c r="N29" s="264"/>
    </row>
    <row r="30" spans="1:14" ht="17.25" thickBot="1" x14ac:dyDescent="0.35">
      <c r="D30" s="145"/>
      <c r="E30" s="182" t="s">
        <v>225</v>
      </c>
      <c r="F30" s="183">
        <v>1.9594</v>
      </c>
      <c r="G30" s="184"/>
      <c r="J30" s="145"/>
      <c r="K30" s="178" t="s">
        <v>243</v>
      </c>
      <c r="L30" s="185">
        <f>('MainSheet V3.4'!D$1-'MainSheet V3.4'!D$12)/2-I29</f>
        <v>42.5</v>
      </c>
      <c r="M30" s="265"/>
      <c r="N30" s="266"/>
    </row>
    <row r="31" spans="1:14" ht="16.5" thickBot="1" x14ac:dyDescent="0.35">
      <c r="A31" s="167" t="s">
        <v>190</v>
      </c>
      <c r="B31" s="167" t="s">
        <v>119</v>
      </c>
      <c r="C31" s="164">
        <f>C10+C21+C29</f>
        <v>8.4737474078747965</v>
      </c>
      <c r="D31" s="153" t="s">
        <v>1</v>
      </c>
      <c r="E31" s="186" t="s">
        <v>226</v>
      </c>
      <c r="F31" s="183">
        <f>3.75*100000000000</f>
        <v>375000000000</v>
      </c>
      <c r="G31" s="187" t="s">
        <v>230</v>
      </c>
    </row>
    <row r="32" spans="1:14" ht="15.75" x14ac:dyDescent="0.3">
      <c r="A32" s="167" t="s">
        <v>64</v>
      </c>
      <c r="B32" s="167" t="s">
        <v>120</v>
      </c>
      <c r="C32" s="188">
        <f>PI()*'MainSheet V3.4'!D$1^2*'MainSheet V3.4'!D$4/4/(C31+0.5*'MainSheet V3.4'!D3)</f>
        <v>656334.41268930573</v>
      </c>
      <c r="D32" s="153" t="s">
        <v>111</v>
      </c>
      <c r="F32" s="145"/>
      <c r="G32" s="145"/>
      <c r="N32" s="189"/>
    </row>
    <row r="33" spans="1:15" ht="15.75" x14ac:dyDescent="0.3">
      <c r="A33" s="167" t="s">
        <v>66</v>
      </c>
      <c r="B33" s="167" t="s">
        <v>121</v>
      </c>
      <c r="C33" s="169">
        <f>IF(F35&lt;G35,F35,Iteration!G35)</f>
        <v>128.18443420950649</v>
      </c>
      <c r="D33" s="153" t="s">
        <v>0</v>
      </c>
      <c r="F33" s="253" t="s">
        <v>237</v>
      </c>
      <c r="G33" s="253"/>
    </row>
    <row r="34" spans="1:15" ht="15.75" x14ac:dyDescent="0.3">
      <c r="A34" s="167" t="s">
        <v>67</v>
      </c>
      <c r="B34" s="167" t="s">
        <v>122</v>
      </c>
      <c r="C34" s="191">
        <f>1/'MainSheet V3.4'!D$6*(('MainSheet V3.4'!D$5)/C32*10^6-'MainSheet V3.4'!J$20/C$36-$C$20/C$36)*10^3</f>
        <v>41.612416949676877</v>
      </c>
      <c r="D34" s="153" t="s">
        <v>0</v>
      </c>
      <c r="F34" s="190" t="s">
        <v>228</v>
      </c>
      <c r="G34" s="190" t="s">
        <v>227</v>
      </c>
      <c r="O34" s="192"/>
    </row>
    <row r="35" spans="1:15" ht="15.75" x14ac:dyDescent="0.3">
      <c r="A35" s="193"/>
      <c r="B35" s="167" t="s">
        <v>124</v>
      </c>
      <c r="C35" s="194">
        <f>PI()*'MainSheet V3.4'!D$9^2/4*10^-6</f>
        <v>2.2698006922186253E-4</v>
      </c>
      <c r="D35" s="195" t="s">
        <v>123</v>
      </c>
      <c r="E35" s="146"/>
      <c r="F35" s="196">
        <f>1/'MainSheet V3.4'!$D$6*('MainSheet V3.4'!$D$5/$C32*10^6-$C$14/$C$35)*10^3</f>
        <v>128.18443420950649</v>
      </c>
      <c r="G35" s="196">
        <f>POWER($F$30*$F$31*('MainSheet V3.4'!$D$9/1000)^2/4/'MainSheet V3.4'!$D$6/$C$32,1/3)*1000-'MainSheet V3.4'!$D$8+Iteration!$C$14/PI()/'MainSheet V3.4'!$D$6/'MainSheet V3.4'!$D$9^2</f>
        <v>137.04864426140904</v>
      </c>
    </row>
    <row r="36" spans="1:15" ht="16.5" x14ac:dyDescent="0.3">
      <c r="A36" s="197"/>
      <c r="B36" s="167" t="s">
        <v>125</v>
      </c>
      <c r="C36" s="194">
        <f>PI()*'MainSheet V3.4'!D$13^2/4*10^-6</f>
        <v>4.154756284372501E-4</v>
      </c>
      <c r="D36" s="195" t="s">
        <v>123</v>
      </c>
      <c r="E36" s="146"/>
      <c r="G36" s="145"/>
    </row>
    <row r="37" spans="1:15" ht="14.25" customHeight="1" x14ac:dyDescent="0.2">
      <c r="D37" s="145"/>
      <c r="E37" s="198"/>
      <c r="F37" s="199"/>
    </row>
    <row r="38" spans="1:15" ht="14.25" customHeight="1" x14ac:dyDescent="0.25">
      <c r="A38" s="20" t="s">
        <v>141</v>
      </c>
      <c r="D38" s="145"/>
    </row>
    <row r="39" spans="1:15" x14ac:dyDescent="0.2">
      <c r="D39" s="145"/>
    </row>
    <row r="40" spans="1:15" x14ac:dyDescent="0.2">
      <c r="A40" s="8" t="s">
        <v>223</v>
      </c>
      <c r="B40" s="138" t="s">
        <v>224</v>
      </c>
      <c r="C40" s="16">
        <f>'MainSheet V3.4'!$D$15-Iteration!C33-'MainSheet V3.4'!$D$8-Iteration!C34-'MainSheet V3.4'!$J$12+'MainSheet V3.4'!$J$18</f>
        <v>409.70314884081671</v>
      </c>
      <c r="D40" s="145" t="s">
        <v>0</v>
      </c>
      <c r="E40" s="254" t="s">
        <v>138</v>
      </c>
      <c r="F40" s="255"/>
      <c r="G40" s="256"/>
    </row>
    <row r="41" spans="1:15" ht="15.75" x14ac:dyDescent="0.3">
      <c r="A41" s="8" t="s">
        <v>76</v>
      </c>
      <c r="B41" s="138" t="s">
        <v>90</v>
      </c>
      <c r="C41" s="139">
        <f>Iteration!C33</f>
        <v>128.18443420950649</v>
      </c>
      <c r="D41" s="145" t="s">
        <v>0</v>
      </c>
      <c r="E41" s="257"/>
      <c r="F41" s="258"/>
      <c r="G41" s="259"/>
    </row>
    <row r="42" spans="1:15" x14ac:dyDescent="0.2">
      <c r="B42" s="133"/>
      <c r="D42" s="145"/>
    </row>
    <row r="43" spans="1:15" x14ac:dyDescent="0.2">
      <c r="A43" s="155" t="s">
        <v>53</v>
      </c>
    </row>
    <row r="44" spans="1:15" ht="15.75" x14ac:dyDescent="0.3">
      <c r="A44" s="150" t="s">
        <v>218</v>
      </c>
      <c r="B44" s="133" t="s">
        <v>219</v>
      </c>
      <c r="C44" s="156">
        <f>ROUNDUP(Iteration!C40*6/'MainSheet V3.4'!D$12,0)</f>
        <v>107</v>
      </c>
      <c r="F44" s="200"/>
    </row>
    <row r="45" spans="1:15" ht="15.75" x14ac:dyDescent="0.3">
      <c r="A45" s="150" t="s">
        <v>229</v>
      </c>
      <c r="B45" s="133" t="s">
        <v>112</v>
      </c>
      <c r="C45" s="160">
        <f>PI()*'MainSheet V3.4'!D$9^2*Iteration!C41/4*'MainSheet V3.4'!D$6*0.000000001</f>
        <v>0.52342465838320285</v>
      </c>
      <c r="D45" s="135" t="s">
        <v>1</v>
      </c>
      <c r="G45" s="201"/>
    </row>
    <row r="46" spans="1:15" ht="15.75" x14ac:dyDescent="0.3">
      <c r="A46" s="150" t="s">
        <v>113</v>
      </c>
      <c r="B46" s="133" t="s">
        <v>114</v>
      </c>
      <c r="C46" s="160">
        <f>PI()*'MainSheet V3.4'!D$12^2*Iteration!C40/4*'MainSheet V3.4'!D$6*0.000000001</f>
        <v>3.0622879015400803</v>
      </c>
      <c r="D46" s="134" t="s">
        <v>1</v>
      </c>
      <c r="G46" s="202"/>
    </row>
    <row r="47" spans="1:15" ht="15.75" x14ac:dyDescent="0.3">
      <c r="A47" s="161" t="s">
        <v>75</v>
      </c>
      <c r="B47" s="133" t="s">
        <v>115</v>
      </c>
      <c r="C47" s="160">
        <f>C44*PI()*'MainSheet V3.4'!D$12/2880*(22*'MainSheet V3.4'!D$11^2+13*'MainSheet V3.4'!D$11*'MainSheet V3.4'!D$12-35*'MainSheet V3.4'!D$12^2)*'MainSheet V3.4'!D$6*0.000000001</f>
        <v>0.19950572237201181</v>
      </c>
      <c r="D47" s="134" t="s">
        <v>1</v>
      </c>
    </row>
    <row r="48" spans="1:15" ht="16.5" thickBot="1" x14ac:dyDescent="0.35">
      <c r="A48" s="150" t="s">
        <v>48</v>
      </c>
      <c r="B48" s="133" t="s">
        <v>116</v>
      </c>
      <c r="C48" s="160">
        <f>PI()*'MainSheet V3.4'!$D$13^2*('MainSheet V3.4'!$D$15-'MainSheet V3.4'!$D$8-Iteration!C40-Iteration!C41-'MainSheet V3.4'!$J$12+'MainSheet V3.4'!$J$18)/4*'MainSheet V3.4'!$D$6*0.000000001</f>
        <v>0.31102812204244762</v>
      </c>
      <c r="D48" s="134" t="s">
        <v>1</v>
      </c>
    </row>
    <row r="49" spans="1:11" ht="16.5" thickBot="1" x14ac:dyDescent="0.35">
      <c r="A49" s="203" t="s">
        <v>83</v>
      </c>
      <c r="B49" s="163" t="s">
        <v>89</v>
      </c>
      <c r="C49" s="164">
        <f>SUM(C45:C48)+$C$14+$C$20</f>
        <v>4.5407333960748062</v>
      </c>
      <c r="D49" s="134" t="s">
        <v>1</v>
      </c>
    </row>
    <row r="50" spans="1:11" x14ac:dyDescent="0.2">
      <c r="A50" s="150"/>
      <c r="B50" s="133"/>
      <c r="D50" s="134"/>
    </row>
    <row r="51" spans="1:11" x14ac:dyDescent="0.2">
      <c r="A51" s="155" t="s">
        <v>56</v>
      </c>
    </row>
    <row r="52" spans="1:11" ht="15.75" x14ac:dyDescent="0.3">
      <c r="A52" s="167" t="s">
        <v>48</v>
      </c>
      <c r="B52" s="167" t="s">
        <v>147</v>
      </c>
      <c r="C52" s="160">
        <f>PI()*F52*'MainSheet V3.4'!J$7/6*(2*(I$24^2+I$25^2+I$24*I$25)+3*'MainSheet V3.4'!D$12*(I$24+I$25))*10^-9</f>
        <v>0.88474367602485515</v>
      </c>
      <c r="D52" s="134" t="s">
        <v>1</v>
      </c>
      <c r="E52" s="168" t="s">
        <v>160</v>
      </c>
      <c r="F52" s="169">
        <f>Iteration!C40-F53-F54-F55</f>
        <v>174.70314884081671</v>
      </c>
      <c r="G52" s="134" t="s">
        <v>0</v>
      </c>
    </row>
    <row r="53" spans="1:11" ht="15.75" x14ac:dyDescent="0.3">
      <c r="A53" s="167" t="s">
        <v>36</v>
      </c>
      <c r="B53" s="167" t="s">
        <v>148</v>
      </c>
      <c r="C53" s="160">
        <f>PI()*(F$26+F$27)*'MainSheet V3.4'!J$7/6*(2*(I$27^2+I$27*I$24+I$24^2)+3*'MainSheet V3.4'!D$12*(I$27+I$24))*10^-9</f>
        <v>1.0922163084358358</v>
      </c>
      <c r="D53" s="134" t="s">
        <v>1</v>
      </c>
      <c r="E53" s="168" t="s">
        <v>161</v>
      </c>
      <c r="F53" s="169">
        <f>$F$25</f>
        <v>42.25352112676056</v>
      </c>
      <c r="G53" s="134" t="s">
        <v>0</v>
      </c>
    </row>
    <row r="54" spans="1:11" ht="15.75" x14ac:dyDescent="0.3">
      <c r="A54" s="167" t="s">
        <v>63</v>
      </c>
      <c r="B54" s="167" t="s">
        <v>173</v>
      </c>
      <c r="C54" s="160">
        <f>PI()/4*F$25*('MainSheet V3.4'!D$1^2-'MainSheet V3.4'!D$12^2)*'MainSheet V3.4'!J$7*10^-9</f>
        <v>1.1508018934316202</v>
      </c>
      <c r="D54" s="204" t="s">
        <v>1</v>
      </c>
      <c r="E54" s="168" t="s">
        <v>162</v>
      </c>
      <c r="F54" s="169">
        <f>'MainSheet V3.4'!$J$8-Iteration!$F53-Iteration!F55</f>
        <v>167.74647887323943</v>
      </c>
      <c r="G54" s="134" t="s">
        <v>0</v>
      </c>
    </row>
    <row r="55" spans="1:11" ht="15.75" x14ac:dyDescent="0.3">
      <c r="A55" s="167" t="s">
        <v>65</v>
      </c>
      <c r="B55" s="167" t="s">
        <v>174</v>
      </c>
      <c r="C55" s="160">
        <f>PI()*'MainSheet V3.4'!$J$7*Iteration!$I$29/6*(3*'MainSheet V3.4'!$D$1*Iteration!$I$29-4*Iteration!$I$29^2+6*'MainSheet V3.4'!$D$1*Iteration!$F55-6*Iteration!$F55*Iteration!$I$29)*0.000000001+PI()*'MainSheet V3.4'!$J$7*SQRT(2)*Iteration!$I$28/4*(('MainSheet V3.4'!$D$1-2*Iteration!$I$29)^2-('MainSheet V3.4'!$D$12+Iteration!$L$26+Iteration!$L$28)^2)*0.000000001</f>
        <v>0.36162003874567894</v>
      </c>
      <c r="D55" s="204" t="s">
        <v>1</v>
      </c>
      <c r="E55" s="168" t="s">
        <v>163</v>
      </c>
      <c r="F55" s="169">
        <f>25</f>
        <v>25</v>
      </c>
      <c r="G55" s="134" t="s">
        <v>0</v>
      </c>
      <c r="K55" s="136"/>
    </row>
    <row r="56" spans="1:11" ht="16.5" thickBot="1" x14ac:dyDescent="0.35">
      <c r="A56" s="167" t="s">
        <v>54</v>
      </c>
      <c r="B56" s="167" t="s">
        <v>175</v>
      </c>
      <c r="C56" s="160">
        <f>0-C47/'MainSheet V3.4'!D$6*'MainSheet V3.4'!J$7</f>
        <v>-2.7724530624237329E-2</v>
      </c>
      <c r="D56" s="204" t="s">
        <v>1</v>
      </c>
      <c r="J56" s="134"/>
      <c r="K56" s="136"/>
    </row>
    <row r="57" spans="1:11" ht="16.5" thickBot="1" x14ac:dyDescent="0.35">
      <c r="A57" s="205" t="s">
        <v>56</v>
      </c>
      <c r="B57" s="181" t="s">
        <v>118</v>
      </c>
      <c r="C57" s="164">
        <f>SUM(C52:C56)</f>
        <v>3.4616573860137527</v>
      </c>
      <c r="D57" s="134" t="s">
        <v>1</v>
      </c>
      <c r="F57" s="200"/>
    </row>
    <row r="58" spans="1:11" ht="13.5" thickBot="1" x14ac:dyDescent="0.25"/>
    <row r="59" spans="1:11" ht="16.5" thickBot="1" x14ac:dyDescent="0.35">
      <c r="A59" s="167" t="s">
        <v>190</v>
      </c>
      <c r="B59" s="167" t="s">
        <v>119</v>
      </c>
      <c r="C59" s="164">
        <f>$C$10+C49+C57</f>
        <v>8.3875031530175761</v>
      </c>
      <c r="D59" s="134" t="s">
        <v>1</v>
      </c>
    </row>
    <row r="60" spans="1:11" ht="15.75" x14ac:dyDescent="0.3">
      <c r="A60" s="167" t="s">
        <v>64</v>
      </c>
      <c r="B60" s="167" t="s">
        <v>120</v>
      </c>
      <c r="C60" s="188">
        <f>PI()*'MainSheet V3.4'!D$1^2*'MainSheet V3.4'!D$4/4/(C59+0.5*'MainSheet V3.4'!$D$3)</f>
        <v>660743.76485731162</v>
      </c>
      <c r="D60" s="134" t="s">
        <v>111</v>
      </c>
      <c r="F60" s="253" t="s">
        <v>66</v>
      </c>
      <c r="G60" s="253"/>
    </row>
    <row r="61" spans="1:11" ht="15.75" x14ac:dyDescent="0.3">
      <c r="A61" s="167" t="s">
        <v>66</v>
      </c>
      <c r="B61" s="167" t="s">
        <v>121</v>
      </c>
      <c r="C61" s="169">
        <f>IF(F62&lt;G62,F62,Iteration!G62)</f>
        <v>127.22363133113923</v>
      </c>
      <c r="D61" s="134" t="s">
        <v>0</v>
      </c>
      <c r="F61" s="190" t="s">
        <v>228</v>
      </c>
      <c r="G61" s="190" t="s">
        <v>227</v>
      </c>
    </row>
    <row r="62" spans="1:11" ht="15.75" x14ac:dyDescent="0.3">
      <c r="A62" s="167" t="s">
        <v>67</v>
      </c>
      <c r="B62" s="167" t="s">
        <v>122</v>
      </c>
      <c r="C62" s="169">
        <f>1/'MainSheet V3.4'!D$6*(('MainSheet V3.4'!D$5)/C60*10^6-'MainSheet V3.4'!J$20/C$36-$C$20/C$36)*10^3</f>
        <v>40.651614071309623</v>
      </c>
      <c r="D62" s="134" t="s">
        <v>0</v>
      </c>
      <c r="F62" s="196">
        <f>1/'MainSheet V3.4'!$D$6*('MainSheet V3.4'!$D$5/$C60*10^6-$C$14/$C$35)*10^3</f>
        <v>127.22363133113923</v>
      </c>
      <c r="G62" s="196">
        <f>POWER($F$30*$F$31*('MainSheet V3.4'!$D$9/1000)^2/4/'MainSheet V3.4'!$D$6/$C60,1/3)*1000-'MainSheet V3.4'!$D$8+Iteration!$C$14/PI()/'MainSheet V3.4'!$D$6/'MainSheet V3.4'!$D$9^2</f>
        <v>136.68068393298208</v>
      </c>
      <c r="I62" s="206"/>
    </row>
    <row r="63" spans="1:11" x14ac:dyDescent="0.2">
      <c r="A63" s="167"/>
      <c r="B63" s="167"/>
      <c r="C63" s="207"/>
      <c r="D63" s="134"/>
    </row>
    <row r="64" spans="1:11" ht="15.75" x14ac:dyDescent="0.25">
      <c r="A64" s="20" t="s">
        <v>142</v>
      </c>
    </row>
    <row r="66" spans="1:7" x14ac:dyDescent="0.2">
      <c r="A66" s="8" t="s">
        <v>223</v>
      </c>
      <c r="B66" s="138" t="s">
        <v>224</v>
      </c>
      <c r="C66" s="2">
        <f>'MainSheet V3.4'!$D$15-Iteration!C61-'MainSheet V3.4'!$D$8-Iteration!C62-'MainSheet V3.4'!$J$12+'MainSheet V3.4'!$J$18</f>
        <v>411.62475459755115</v>
      </c>
      <c r="D66" s="123" t="s">
        <v>0</v>
      </c>
      <c r="E66" s="254" t="s">
        <v>144</v>
      </c>
      <c r="F66" s="255"/>
      <c r="G66" s="256"/>
    </row>
    <row r="67" spans="1:7" ht="15.75" x14ac:dyDescent="0.3">
      <c r="A67" s="8" t="s">
        <v>76</v>
      </c>
      <c r="B67" s="138" t="s">
        <v>90</v>
      </c>
      <c r="C67" s="2">
        <f>Iteration!C61</f>
        <v>127.22363133113923</v>
      </c>
      <c r="D67" s="123" t="s">
        <v>0</v>
      </c>
      <c r="E67" s="257"/>
      <c r="F67" s="258"/>
      <c r="G67" s="259"/>
    </row>
    <row r="68" spans="1:7" x14ac:dyDescent="0.2">
      <c r="B68" s="133"/>
    </row>
    <row r="69" spans="1:7" x14ac:dyDescent="0.2">
      <c r="A69" s="155" t="s">
        <v>53</v>
      </c>
    </row>
    <row r="70" spans="1:7" ht="15.75" x14ac:dyDescent="0.3">
      <c r="A70" s="150" t="s">
        <v>218</v>
      </c>
      <c r="B70" s="133" t="s">
        <v>219</v>
      </c>
      <c r="C70" s="156">
        <f>ROUNDUP(Iteration!C66*6/'MainSheet V3.4'!D$12,0)</f>
        <v>108</v>
      </c>
    </row>
    <row r="71" spans="1:7" ht="15.75" x14ac:dyDescent="0.3">
      <c r="A71" s="150" t="s">
        <v>229</v>
      </c>
      <c r="B71" s="133" t="s">
        <v>112</v>
      </c>
      <c r="C71" s="160">
        <f>PI()*'MainSheet V3.4'!D$9^2*Iteration!C67/4*'MainSheet V3.4'!D$6*0.000000001</f>
        <v>0.51950134334511466</v>
      </c>
      <c r="D71" s="135" t="s">
        <v>1</v>
      </c>
      <c r="G71" s="201"/>
    </row>
    <row r="72" spans="1:7" ht="15.75" x14ac:dyDescent="0.3">
      <c r="A72" s="150" t="s">
        <v>113</v>
      </c>
      <c r="B72" s="133" t="s">
        <v>114</v>
      </c>
      <c r="C72" s="160">
        <f>PI()*'MainSheet V3.4'!D$12^2*Iteration!C66/4*'MainSheet V3.4'!D$6*0.000000001</f>
        <v>3.076650764205469</v>
      </c>
      <c r="D72" s="134" t="s">
        <v>1</v>
      </c>
      <c r="G72" s="202"/>
    </row>
    <row r="73" spans="1:7" ht="15.75" x14ac:dyDescent="0.3">
      <c r="A73" s="161" t="s">
        <v>75</v>
      </c>
      <c r="B73" s="133" t="s">
        <v>115</v>
      </c>
      <c r="C73" s="160">
        <f>C70*PI()*'MainSheet V3.4'!D$12/2880*(22*'MainSheet V3.4'!D$11^2+13*'MainSheet V3.4'!D$11*'MainSheet V3.4'!D$12-35*'MainSheet V3.4'!D$12^2)*'MainSheet V3.4'!D$6*0.000000001</f>
        <v>0.20137026183343243</v>
      </c>
      <c r="D73" s="134" t="s">
        <v>1</v>
      </c>
    </row>
    <row r="74" spans="1:7" ht="16.5" thickBot="1" x14ac:dyDescent="0.35">
      <c r="A74" s="150" t="s">
        <v>48</v>
      </c>
      <c r="B74" s="133" t="s">
        <v>116</v>
      </c>
      <c r="C74" s="160">
        <f>PI()*'MainSheet V3.4'!$D$13^2*('MainSheet V3.4'!$D$15-'MainSheet V3.4'!$D$8-Iteration!C66-Iteration!C67-'MainSheet V3.4'!$J$12+'MainSheet V3.4'!$J$18)/4*'MainSheet V3.4'!$D$6*0.000000001</f>
        <v>0.30384669070975401</v>
      </c>
      <c r="D74" s="134" t="s">
        <v>1</v>
      </c>
    </row>
    <row r="75" spans="1:7" ht="16.5" thickBot="1" x14ac:dyDescent="0.35">
      <c r="A75" s="203" t="s">
        <v>83</v>
      </c>
      <c r="B75" s="163" t="s">
        <v>89</v>
      </c>
      <c r="C75" s="164">
        <f>SUM(C71:C74)+$C$14+$C$20</f>
        <v>4.5458560518308335</v>
      </c>
      <c r="D75" s="134" t="s">
        <v>1</v>
      </c>
    </row>
    <row r="76" spans="1:7" x14ac:dyDescent="0.2">
      <c r="A76" s="150"/>
      <c r="B76" s="133"/>
      <c r="D76" s="134"/>
    </row>
    <row r="77" spans="1:7" x14ac:dyDescent="0.2">
      <c r="A77" s="155" t="s">
        <v>56</v>
      </c>
    </row>
    <row r="78" spans="1:7" ht="15.75" x14ac:dyDescent="0.3">
      <c r="A78" s="167" t="s">
        <v>48</v>
      </c>
      <c r="B78" s="167" t="s">
        <v>147</v>
      </c>
      <c r="C78" s="160">
        <f>PI()*F78*'MainSheet V3.4'!J$7/6*(2*(I$24^2+I$25^2+I$24*I$25)+3*'MainSheet V3.4'!D$12*(I$24+I$25))*10^-9</f>
        <v>0.89447520377558187</v>
      </c>
      <c r="D78" s="134" t="s">
        <v>1</v>
      </c>
      <c r="E78" s="168" t="s">
        <v>160</v>
      </c>
      <c r="F78" s="169">
        <f>Iteration!C66-F79-F80-F81</f>
        <v>176.62475459755115</v>
      </c>
      <c r="G78" s="134" t="s">
        <v>0</v>
      </c>
    </row>
    <row r="79" spans="1:7" ht="15.75" x14ac:dyDescent="0.3">
      <c r="A79" s="167" t="s">
        <v>36</v>
      </c>
      <c r="B79" s="167" t="s">
        <v>148</v>
      </c>
      <c r="C79" s="160">
        <f>PI()*(F$26+F$27)*'MainSheet V3.4'!J$7/6*(2*(I$27^2+I$27*I$24+I$24^2)+3*'MainSheet V3.4'!D$12*(I$27+I$24))*10^-9</f>
        <v>1.0922163084358358</v>
      </c>
      <c r="D79" s="134" t="s">
        <v>1</v>
      </c>
      <c r="E79" s="168" t="s">
        <v>161</v>
      </c>
      <c r="F79" s="169">
        <f>$F$25</f>
        <v>42.25352112676056</v>
      </c>
      <c r="G79" s="134" t="s">
        <v>0</v>
      </c>
    </row>
    <row r="80" spans="1:7" ht="15.75" x14ac:dyDescent="0.3">
      <c r="A80" s="167" t="s">
        <v>63</v>
      </c>
      <c r="B80" s="167" t="s">
        <v>173</v>
      </c>
      <c r="C80" s="160">
        <f>PI()/4*F$25*('MainSheet V3.4'!D$1^2-'MainSheet V3.4'!D$12^2)*'MainSheet V3.4'!J$7*10^-9</f>
        <v>1.1508018934316202</v>
      </c>
      <c r="D80" s="204" t="s">
        <v>1</v>
      </c>
      <c r="E80" s="168" t="s">
        <v>162</v>
      </c>
      <c r="F80" s="169">
        <f>'MainSheet V3.4'!$J$8-Iteration!$F79-Iteration!F81</f>
        <v>167.74647887323943</v>
      </c>
      <c r="G80" s="134" t="s">
        <v>0</v>
      </c>
    </row>
    <row r="81" spans="1:11" ht="15.75" x14ac:dyDescent="0.3">
      <c r="A81" s="167" t="s">
        <v>65</v>
      </c>
      <c r="B81" s="167" t="s">
        <v>174</v>
      </c>
      <c r="C81" s="160">
        <f>PI()*'MainSheet V3.4'!$J$7*Iteration!$I$29/6*(3*'MainSheet V3.4'!$D$1*Iteration!$I$29-4*Iteration!$I$29^2+6*'MainSheet V3.4'!$D$1*Iteration!$F81-6*Iteration!$F81*Iteration!$I$29)*0.000000001+PI()*'MainSheet V3.4'!$J$7*SQRT(2)*Iteration!$I$28/4*(('MainSheet V3.4'!$D$1-2*Iteration!$I$29)^2-('MainSheet V3.4'!$D$12+Iteration!$L$26+Iteration!$L$28)^2)*0.000000001</f>
        <v>0.36162003874567894</v>
      </c>
      <c r="D81" s="204" t="s">
        <v>1</v>
      </c>
      <c r="E81" s="168" t="s">
        <v>163</v>
      </c>
      <c r="F81" s="169">
        <f>25</f>
        <v>25</v>
      </c>
      <c r="G81" s="134" t="s">
        <v>0</v>
      </c>
      <c r="K81" s="136"/>
    </row>
    <row r="82" spans="1:11" ht="16.5" thickBot="1" x14ac:dyDescent="0.35">
      <c r="A82" s="167" t="s">
        <v>54</v>
      </c>
      <c r="B82" s="167" t="s">
        <v>175</v>
      </c>
      <c r="C82" s="160">
        <f>0-C73/'MainSheet V3.4'!D$6*'MainSheet V3.4'!J$7</f>
        <v>-2.7983638387080657E-2</v>
      </c>
      <c r="D82" s="204" t="s">
        <v>1</v>
      </c>
      <c r="J82" s="134"/>
      <c r="K82" s="136"/>
    </row>
    <row r="83" spans="1:11" ht="16.5" thickBot="1" x14ac:dyDescent="0.35">
      <c r="A83" s="205" t="s">
        <v>56</v>
      </c>
      <c r="B83" s="181" t="s">
        <v>118</v>
      </c>
      <c r="C83" s="164">
        <f>SUM(C78:C82)</f>
        <v>3.471129806001636</v>
      </c>
      <c r="D83" s="134" t="s">
        <v>1</v>
      </c>
    </row>
    <row r="84" spans="1:11" ht="13.5" thickBot="1" x14ac:dyDescent="0.25"/>
    <row r="85" spans="1:11" ht="16.5" thickBot="1" x14ac:dyDescent="0.35">
      <c r="A85" s="167" t="s">
        <v>190</v>
      </c>
      <c r="B85" s="167" t="s">
        <v>119</v>
      </c>
      <c r="C85" s="164">
        <f>$C$10+C75+C83</f>
        <v>8.4020982287614867</v>
      </c>
      <c r="D85" s="134" t="s">
        <v>1</v>
      </c>
    </row>
    <row r="86" spans="1:11" ht="15.75" x14ac:dyDescent="0.3">
      <c r="A86" s="167" t="s">
        <v>64</v>
      </c>
      <c r="B86" s="167" t="s">
        <v>120</v>
      </c>
      <c r="C86" s="188">
        <f>PI()*'MainSheet V3.4'!D$1^2*'MainSheet V3.4'!D$4/4/(C85+0.5*'MainSheet V3.4'!$D$3)</f>
        <v>659993.41225933435</v>
      </c>
      <c r="D86" s="134" t="s">
        <v>111</v>
      </c>
      <c r="F86" s="253" t="s">
        <v>66</v>
      </c>
      <c r="G86" s="253"/>
    </row>
    <row r="87" spans="1:11" ht="15.75" x14ac:dyDescent="0.3">
      <c r="A87" s="167" t="s">
        <v>66</v>
      </c>
      <c r="B87" s="167" t="s">
        <v>121</v>
      </c>
      <c r="C87" s="169">
        <f>IF(F88&lt;G88,F88,Iteration!G88)</f>
        <v>127.38622756213402</v>
      </c>
      <c r="D87" s="134" t="s">
        <v>0</v>
      </c>
      <c r="F87" s="190" t="s">
        <v>228</v>
      </c>
      <c r="G87" s="190" t="s">
        <v>227</v>
      </c>
    </row>
    <row r="88" spans="1:11" ht="15.75" x14ac:dyDescent="0.3">
      <c r="A88" s="167" t="s">
        <v>67</v>
      </c>
      <c r="B88" s="167" t="s">
        <v>122</v>
      </c>
      <c r="C88" s="169">
        <f>1/'MainSheet V3.4'!D$6*(('MainSheet V3.4'!D$5)/C86*10^6-'MainSheet V3.4'!J$20/C$36-$C$20/C$36)*10^3</f>
        <v>40.814210302304424</v>
      </c>
      <c r="D88" s="134" t="s">
        <v>0</v>
      </c>
      <c r="F88" s="196">
        <f>1/'MainSheet V3.4'!$D$6*('MainSheet V3.4'!$D$5/$C86*10^6-$C$14/$C$35)*10^3</f>
        <v>127.38622756213402</v>
      </c>
      <c r="G88" s="196">
        <f>POWER($F$30*$F$31*('MainSheet V3.4'!$D$9/1000)^2/4/'MainSheet V3.4'!$D$6/$C86,1/3)*1000-'MainSheet V3.4'!$D$8+Iteration!$C$14/PI()/'MainSheet V3.4'!$D$6/'MainSheet V3.4'!$D$9^2</f>
        <v>136.74306929296267</v>
      </c>
    </row>
    <row r="90" spans="1:11" ht="15.75" x14ac:dyDescent="0.25">
      <c r="A90" s="20" t="s">
        <v>143</v>
      </c>
    </row>
    <row r="92" spans="1:11" x14ac:dyDescent="0.2">
      <c r="A92" s="8" t="s">
        <v>223</v>
      </c>
      <c r="B92" s="138" t="s">
        <v>224</v>
      </c>
      <c r="C92" s="2">
        <f>'MainSheet V3.4'!$D$15-Iteration!C87-'MainSheet V3.4'!$D$8-Iteration!C88-'MainSheet V3.4'!$J$12+'MainSheet V3.4'!$J$18</f>
        <v>411.29956213556147</v>
      </c>
      <c r="D92" s="123" t="s">
        <v>0</v>
      </c>
      <c r="E92" s="254" t="s">
        <v>145</v>
      </c>
      <c r="F92" s="255"/>
      <c r="G92" s="256"/>
    </row>
    <row r="93" spans="1:11" ht="15.75" x14ac:dyDescent="0.3">
      <c r="A93" s="8" t="s">
        <v>76</v>
      </c>
      <c r="B93" s="138" t="s">
        <v>90</v>
      </c>
      <c r="C93" s="2">
        <f>Iteration!C87</f>
        <v>127.38622756213402</v>
      </c>
      <c r="D93" s="123" t="s">
        <v>0</v>
      </c>
      <c r="E93" s="257"/>
      <c r="F93" s="258"/>
      <c r="G93" s="259"/>
    </row>
    <row r="94" spans="1:11" x14ac:dyDescent="0.2">
      <c r="B94" s="133"/>
    </row>
    <row r="95" spans="1:11" x14ac:dyDescent="0.2">
      <c r="A95" s="155" t="s">
        <v>53</v>
      </c>
    </row>
    <row r="96" spans="1:11" ht="15.75" x14ac:dyDescent="0.3">
      <c r="A96" s="150" t="s">
        <v>218</v>
      </c>
      <c r="B96" s="133" t="s">
        <v>219</v>
      </c>
      <c r="C96" s="156">
        <f>ROUNDUP(Iteration!C92*6/'MainSheet V3.4'!D$12,0)</f>
        <v>108</v>
      </c>
    </row>
    <row r="97" spans="1:11" ht="15.75" x14ac:dyDescent="0.3">
      <c r="A97" s="150" t="s">
        <v>229</v>
      </c>
      <c r="B97" s="133" t="s">
        <v>112</v>
      </c>
      <c r="C97" s="160">
        <f>PI()*'MainSheet V3.4'!D$9^2*Iteration!C93/4*'MainSheet V3.4'!D$6*0.000000001</f>
        <v>0.52016528415187246</v>
      </c>
      <c r="D97" s="135" t="s">
        <v>1</v>
      </c>
      <c r="G97" s="201"/>
    </row>
    <row r="98" spans="1:11" ht="15.75" x14ac:dyDescent="0.3">
      <c r="A98" s="150" t="s">
        <v>113</v>
      </c>
      <c r="B98" s="133" t="s">
        <v>114</v>
      </c>
      <c r="C98" s="160">
        <f>PI()*'MainSheet V3.4'!D$12^2*Iteration!C92/4*'MainSheet V3.4'!D$6*0.000000001</f>
        <v>3.0742201435357455</v>
      </c>
      <c r="D98" s="134" t="s">
        <v>1</v>
      </c>
      <c r="G98" s="202"/>
    </row>
    <row r="99" spans="1:11" ht="15.75" x14ac:dyDescent="0.3">
      <c r="A99" s="161" t="s">
        <v>75</v>
      </c>
      <c r="B99" s="133" t="s">
        <v>115</v>
      </c>
      <c r="C99" s="160">
        <f>C96*PI()*'MainSheet V3.4'!D$12/2880*(22*'MainSheet V3.4'!D$11^2+13*'MainSheet V3.4'!D$11*'MainSheet V3.4'!D$12-35*'MainSheet V3.4'!D$12^2)*'MainSheet V3.4'!D$6*0.000000001</f>
        <v>0.20137026183343243</v>
      </c>
      <c r="D99" s="134" t="s">
        <v>1</v>
      </c>
    </row>
    <row r="100" spans="1:11" ht="16.5" thickBot="1" x14ac:dyDescent="0.35">
      <c r="A100" s="150" t="s">
        <v>48</v>
      </c>
      <c r="B100" s="133" t="s">
        <v>116</v>
      </c>
      <c r="C100" s="160">
        <f>PI()*'MainSheet V3.4'!$D$13^2*('MainSheet V3.4'!$D$15-'MainSheet V3.4'!$D$8-Iteration!C92-Iteration!C93-'MainSheet V3.4'!$J$12+'MainSheet V3.4'!$J$18)/4*'MainSheet V3.4'!$D$6*0.000000001</f>
        <v>0.30506200104461578</v>
      </c>
      <c r="D100" s="134" t="s">
        <v>1</v>
      </c>
    </row>
    <row r="101" spans="1:11" ht="16.5" thickBot="1" x14ac:dyDescent="0.35">
      <c r="A101" s="203" t="s">
        <v>83</v>
      </c>
      <c r="B101" s="163" t="s">
        <v>89</v>
      </c>
      <c r="C101" s="164">
        <f>SUM(C97:C100)+$C$14+$C$20</f>
        <v>4.5453046823027297</v>
      </c>
      <c r="D101" s="134" t="s">
        <v>1</v>
      </c>
    </row>
    <row r="102" spans="1:11" x14ac:dyDescent="0.2">
      <c r="A102" s="150"/>
      <c r="B102" s="133"/>
      <c r="D102" s="134"/>
    </row>
    <row r="103" spans="1:11" x14ac:dyDescent="0.2">
      <c r="A103" s="155" t="s">
        <v>56</v>
      </c>
    </row>
    <row r="104" spans="1:11" ht="15.75" x14ac:dyDescent="0.3">
      <c r="A104" s="167" t="s">
        <v>48</v>
      </c>
      <c r="B104" s="167" t="s">
        <v>147</v>
      </c>
      <c r="C104" s="160">
        <f>PI()*F104*'MainSheet V3.4'!J$7/6*(2*(I$24^2+I$25^2+I$24*I$25)+3*'MainSheet V3.4'!D$12*(I$24+I$25))*10^-9</f>
        <v>0.89282834179200965</v>
      </c>
      <c r="D104" s="134" t="s">
        <v>1</v>
      </c>
      <c r="E104" s="168" t="s">
        <v>160</v>
      </c>
      <c r="F104" s="169">
        <f>Iteration!C92-F105-F106-F107</f>
        <v>176.29956213556147</v>
      </c>
      <c r="G104" s="134" t="s">
        <v>0</v>
      </c>
    </row>
    <row r="105" spans="1:11" ht="15.75" x14ac:dyDescent="0.3">
      <c r="A105" s="167" t="s">
        <v>36</v>
      </c>
      <c r="B105" s="167" t="s">
        <v>148</v>
      </c>
      <c r="C105" s="160">
        <f>PI()*(F$26+F$27)*'MainSheet V3.4'!J$7/6*(2*(I$27^2+I$27*I$24+I$24^2)+3*'MainSheet V3.4'!D$12*(I$27+I$24))*10^-9</f>
        <v>1.0922163084358358</v>
      </c>
      <c r="D105" s="134" t="s">
        <v>1</v>
      </c>
      <c r="E105" s="168" t="s">
        <v>161</v>
      </c>
      <c r="F105" s="169">
        <f>$F$25</f>
        <v>42.25352112676056</v>
      </c>
      <c r="G105" s="134" t="s">
        <v>0</v>
      </c>
    </row>
    <row r="106" spans="1:11" ht="15.75" x14ac:dyDescent="0.3">
      <c r="A106" s="167" t="s">
        <v>63</v>
      </c>
      <c r="B106" s="167" t="s">
        <v>173</v>
      </c>
      <c r="C106" s="160">
        <f>PI()/4*F$25*('MainSheet V3.4'!D$1^2-'MainSheet V3.4'!D$12^2)*'MainSheet V3.4'!J$7*10^-9</f>
        <v>1.1508018934316202</v>
      </c>
      <c r="D106" s="204" t="s">
        <v>1</v>
      </c>
      <c r="E106" s="168" t="s">
        <v>162</v>
      </c>
      <c r="F106" s="169">
        <f>'MainSheet V3.4'!$J$8-Iteration!$F105-Iteration!F107</f>
        <v>167.74647887323943</v>
      </c>
      <c r="G106" s="134" t="s">
        <v>0</v>
      </c>
    </row>
    <row r="107" spans="1:11" ht="15.75" x14ac:dyDescent="0.3">
      <c r="A107" s="167" t="s">
        <v>65</v>
      </c>
      <c r="B107" s="167" t="s">
        <v>174</v>
      </c>
      <c r="C107" s="160">
        <f>PI()*'MainSheet V3.4'!$J$7*Iteration!$I$29/6*(3*'MainSheet V3.4'!$D$1*Iteration!$I$29-4*Iteration!$I$29^2+6*'MainSheet V3.4'!$D$1*Iteration!$F107-6*Iteration!$F107*Iteration!$I$29)*0.000000001+PI()*'MainSheet V3.4'!$J$7*SQRT(2)*Iteration!$I$28/4*(('MainSheet V3.4'!$D$1-2*Iteration!$I$29)^2-('MainSheet V3.4'!$D$12+Iteration!$L$26+Iteration!$L$28)^2)*0.000000001</f>
        <v>0.36162003874567894</v>
      </c>
      <c r="D107" s="204" t="s">
        <v>1</v>
      </c>
      <c r="E107" s="168" t="s">
        <v>163</v>
      </c>
      <c r="F107" s="169">
        <f>25</f>
        <v>25</v>
      </c>
      <c r="G107" s="134" t="s">
        <v>0</v>
      </c>
      <c r="K107" s="136"/>
    </row>
    <row r="108" spans="1:11" ht="16.5" thickBot="1" x14ac:dyDescent="0.35">
      <c r="A108" s="167" t="s">
        <v>54</v>
      </c>
      <c r="B108" s="167" t="s">
        <v>175</v>
      </c>
      <c r="C108" s="160">
        <f>0-C99/'MainSheet V3.4'!D$6*'MainSheet V3.4'!J$7</f>
        <v>-2.7983638387080657E-2</v>
      </c>
      <c r="D108" s="204" t="s">
        <v>1</v>
      </c>
      <c r="J108" s="134"/>
      <c r="K108" s="136"/>
    </row>
    <row r="109" spans="1:11" ht="16.5" thickBot="1" x14ac:dyDescent="0.35">
      <c r="A109" s="205" t="s">
        <v>56</v>
      </c>
      <c r="B109" s="181" t="s">
        <v>118</v>
      </c>
      <c r="C109" s="164">
        <f>SUM(C104:C108)</f>
        <v>3.4694829440180639</v>
      </c>
      <c r="D109" s="134" t="s">
        <v>1</v>
      </c>
      <c r="F109" s="200"/>
    </row>
    <row r="110" spans="1:11" ht="13.5" thickBot="1" x14ac:dyDescent="0.25"/>
    <row r="111" spans="1:11" ht="16.5" thickBot="1" x14ac:dyDescent="0.35">
      <c r="A111" s="167" t="s">
        <v>190</v>
      </c>
      <c r="B111" s="167" t="s">
        <v>119</v>
      </c>
      <c r="C111" s="164">
        <f>$C$10+C101+C109</f>
        <v>8.3998999972498112</v>
      </c>
      <c r="D111" s="134" t="s">
        <v>1</v>
      </c>
    </row>
    <row r="112" spans="1:11" ht="15.75" x14ac:dyDescent="0.3">
      <c r="A112" s="167" t="s">
        <v>64</v>
      </c>
      <c r="B112" s="167" t="s">
        <v>120</v>
      </c>
      <c r="C112" s="188">
        <f>PI()*'MainSheet V3.4'!D$1^2*'MainSheet V3.4'!D$4/4/(C111+0.5*'MainSheet V3.4'!$D$3)</f>
        <v>660106.31728712737</v>
      </c>
      <c r="D112" s="134" t="s">
        <v>111</v>
      </c>
      <c r="F112" s="253" t="s">
        <v>66</v>
      </c>
      <c r="G112" s="253"/>
    </row>
    <row r="113" spans="1:7" ht="15.75" x14ac:dyDescent="0.3">
      <c r="A113" s="167" t="s">
        <v>66</v>
      </c>
      <c r="B113" s="167" t="s">
        <v>121</v>
      </c>
      <c r="C113" s="169">
        <f>IF(F114&lt;G114,F114,Iteration!G114)</f>
        <v>127.361738195657</v>
      </c>
      <c r="D113" s="134" t="s">
        <v>0</v>
      </c>
      <c r="F113" s="190" t="s">
        <v>228</v>
      </c>
      <c r="G113" s="190" t="s">
        <v>227</v>
      </c>
    </row>
    <row r="114" spans="1:7" ht="15.75" x14ac:dyDescent="0.3">
      <c r="A114" s="167" t="s">
        <v>67</v>
      </c>
      <c r="B114" s="167" t="s">
        <v>122</v>
      </c>
      <c r="C114" s="169">
        <f>1/'MainSheet V3.4'!D$6*(('MainSheet V3.4'!D$5)/C112*10^6-'MainSheet V3.4'!J$20/C$36-$C$20/C$36)*10^3</f>
        <v>40.789720935827397</v>
      </c>
      <c r="D114" s="134" t="s">
        <v>0</v>
      </c>
      <c r="F114" s="196">
        <f>1/'MainSheet V3.4'!$D$6*('MainSheet V3.4'!$D$5/$C112*10^6-$C$14/$C$35)*10^3</f>
        <v>127.361738195657</v>
      </c>
      <c r="G114" s="196">
        <f>POWER($F$30*$F$31*('MainSheet V3.4'!$D$9/1000)^2/4/'MainSheet V3.4'!$D$6/$C112,1/3)*1000-'MainSheet V3.4'!$D$8+Iteration!$C$14/PI()/'MainSheet V3.4'!$D$6/'MainSheet V3.4'!$D$9^2</f>
        <v>136.73367616900626</v>
      </c>
    </row>
    <row r="115" spans="1:7" x14ac:dyDescent="0.2">
      <c r="A115" s="167"/>
      <c r="B115" s="167"/>
      <c r="C115" s="207"/>
      <c r="D115" s="134"/>
    </row>
    <row r="116" spans="1:7" ht="15.75" x14ac:dyDescent="0.25">
      <c r="A116" s="20" t="s">
        <v>140</v>
      </c>
    </row>
    <row r="118" spans="1:7" x14ac:dyDescent="0.2">
      <c r="A118" s="8" t="s">
        <v>223</v>
      </c>
      <c r="B118" s="138" t="s">
        <v>224</v>
      </c>
      <c r="C118" s="16">
        <f>'MainSheet V3.4'!$D$15-Iteration!C113-'MainSheet V3.4'!$D$8-Iteration!C114-'MainSheet V3.4'!$J$12+'MainSheet V3.4'!$J$18</f>
        <v>411.34854086851556</v>
      </c>
      <c r="D118" s="123" t="s">
        <v>0</v>
      </c>
      <c r="E118" s="254" t="s">
        <v>146</v>
      </c>
      <c r="F118" s="255"/>
      <c r="G118" s="256"/>
    </row>
    <row r="119" spans="1:7" ht="15.75" x14ac:dyDescent="0.3">
      <c r="A119" s="8" t="s">
        <v>76</v>
      </c>
      <c r="B119" s="138" t="s">
        <v>90</v>
      </c>
      <c r="C119" s="2">
        <f>Iteration!C113</f>
        <v>127.361738195657</v>
      </c>
      <c r="D119" s="123" t="s">
        <v>0</v>
      </c>
      <c r="E119" s="257"/>
      <c r="F119" s="258"/>
      <c r="G119" s="259"/>
    </row>
    <row r="120" spans="1:7" x14ac:dyDescent="0.2">
      <c r="B120" s="133"/>
    </row>
    <row r="121" spans="1:7" x14ac:dyDescent="0.2">
      <c r="A121" s="155" t="s">
        <v>53</v>
      </c>
    </row>
    <row r="122" spans="1:7" ht="15.75" x14ac:dyDescent="0.3">
      <c r="A122" s="150" t="s">
        <v>218</v>
      </c>
      <c r="B122" s="133" t="s">
        <v>219</v>
      </c>
      <c r="C122" s="156">
        <f>ROUNDUP(Iteration!C118*6/'MainSheet V3.4'!D$12,0)</f>
        <v>108</v>
      </c>
    </row>
    <row r="123" spans="1:7" ht="15.75" x14ac:dyDescent="0.3">
      <c r="A123" s="150" t="s">
        <v>229</v>
      </c>
      <c r="B123" s="133" t="s">
        <v>112</v>
      </c>
      <c r="C123" s="160">
        <f>PI()*'MainSheet V3.4'!D$9^2*Iteration!C119/4*'MainSheet V3.4'!D$6*0.000000001</f>
        <v>0.52006528497208659</v>
      </c>
      <c r="D123" s="135" t="s">
        <v>1</v>
      </c>
      <c r="G123" s="201"/>
    </row>
    <row r="124" spans="1:7" ht="15.75" x14ac:dyDescent="0.3">
      <c r="A124" s="150" t="s">
        <v>113</v>
      </c>
      <c r="B124" s="133" t="s">
        <v>114</v>
      </c>
      <c r="C124" s="160">
        <f>PI()*'MainSheet V3.4'!D$12^2*Iteration!C118/4*'MainSheet V3.4'!D$6*0.000000001</f>
        <v>3.0745862304984217</v>
      </c>
      <c r="D124" s="134" t="s">
        <v>1</v>
      </c>
      <c r="G124" s="202"/>
    </row>
    <row r="125" spans="1:7" ht="15.75" x14ac:dyDescent="0.3">
      <c r="A125" s="161" t="s">
        <v>75</v>
      </c>
      <c r="B125" s="133" t="s">
        <v>115</v>
      </c>
      <c r="C125" s="160">
        <f>C122*PI()*'MainSheet V3.4'!D$12/2880*(22*'MainSheet V3.4'!D$11^2+13*'MainSheet V3.4'!D$11*'MainSheet V3.4'!D$12-35*'MainSheet V3.4'!D$12^2)*'MainSheet V3.4'!D$6*0.000000001</f>
        <v>0.20137026183343243</v>
      </c>
      <c r="D125" s="134" t="s">
        <v>1</v>
      </c>
    </row>
    <row r="126" spans="1:7" ht="16.5" thickBot="1" x14ac:dyDescent="0.35">
      <c r="A126" s="150" t="s">
        <v>48</v>
      </c>
      <c r="B126" s="133" t="s">
        <v>116</v>
      </c>
      <c r="C126" s="160">
        <f>PI()*'MainSheet V3.4'!$D$13^2*('MainSheet V3.4'!$D$15-'MainSheet V3.4'!$D$8-Iteration!C118-Iteration!C119-'MainSheet V3.4'!$J$12+'MainSheet V3.4'!$J$18)/4*'MainSheet V3.4'!$D$6*0.000000001</f>
        <v>0.30487895756327749</v>
      </c>
      <c r="D126" s="134" t="s">
        <v>1</v>
      </c>
    </row>
    <row r="127" spans="1:7" ht="16.5" thickBot="1" x14ac:dyDescent="0.35">
      <c r="A127" s="203" t="s">
        <v>83</v>
      </c>
      <c r="B127" s="163" t="s">
        <v>89</v>
      </c>
      <c r="C127" s="164">
        <f>SUM(C123:C126)+$C$14+$C$20</f>
        <v>4.5453877266042806</v>
      </c>
      <c r="D127" s="134"/>
    </row>
    <row r="128" spans="1:7" x14ac:dyDescent="0.2">
      <c r="A128" s="150"/>
      <c r="B128" s="133"/>
      <c r="D128" s="134"/>
    </row>
    <row r="129" spans="1:11" x14ac:dyDescent="0.2">
      <c r="A129" s="155" t="s">
        <v>56</v>
      </c>
    </row>
    <row r="130" spans="1:11" ht="15.75" x14ac:dyDescent="0.3">
      <c r="A130" s="167" t="s">
        <v>48</v>
      </c>
      <c r="B130" s="167" t="s">
        <v>147</v>
      </c>
      <c r="C130" s="160">
        <f>PI()*F130*'MainSheet V3.4'!J$7/6*(2*(I$24^2+I$25^2+I$24*I$25)+3*'MainSheet V3.4'!D$12*(I$24+I$25))*10^-9</f>
        <v>0.8930763832527866</v>
      </c>
      <c r="D130" s="134" t="s">
        <v>1</v>
      </c>
      <c r="E130" s="168" t="s">
        <v>160</v>
      </c>
      <c r="F130" s="169">
        <f>Iteration!C118-F131-F132-F133</f>
        <v>176.34854086851556</v>
      </c>
      <c r="G130" s="134" t="s">
        <v>0</v>
      </c>
    </row>
    <row r="131" spans="1:11" ht="15.75" x14ac:dyDescent="0.3">
      <c r="A131" s="167" t="s">
        <v>36</v>
      </c>
      <c r="B131" s="167" t="s">
        <v>148</v>
      </c>
      <c r="C131" s="160">
        <f>PI()*(F$26+F$27)*'MainSheet V3.4'!J$7/6*(2*(I$27^2+I$27*I$24+I$24^2)+3*'MainSheet V3.4'!D$12*(I$27+I$24))*10^-9</f>
        <v>1.0922163084358358</v>
      </c>
      <c r="D131" s="134" t="s">
        <v>1</v>
      </c>
      <c r="E131" s="168" t="s">
        <v>161</v>
      </c>
      <c r="F131" s="169">
        <f>$F$25</f>
        <v>42.25352112676056</v>
      </c>
      <c r="G131" s="134" t="s">
        <v>0</v>
      </c>
    </row>
    <row r="132" spans="1:11" ht="15.75" x14ac:dyDescent="0.3">
      <c r="A132" s="167" t="s">
        <v>63</v>
      </c>
      <c r="B132" s="167" t="s">
        <v>173</v>
      </c>
      <c r="C132" s="160">
        <f>PI()/4*F$25*('MainSheet V3.4'!D$1^2-'MainSheet V3.4'!D$12^2)*'MainSheet V3.4'!J$7*10^-9</f>
        <v>1.1508018934316202</v>
      </c>
      <c r="D132" s="204" t="s">
        <v>1</v>
      </c>
      <c r="E132" s="168" t="s">
        <v>162</v>
      </c>
      <c r="F132" s="169">
        <f>'MainSheet V3.4'!$J$8-Iteration!$F131-Iteration!F133</f>
        <v>167.74647887323943</v>
      </c>
      <c r="G132" s="134" t="s">
        <v>0</v>
      </c>
    </row>
    <row r="133" spans="1:11" ht="15.75" x14ac:dyDescent="0.3">
      <c r="A133" s="167" t="s">
        <v>65</v>
      </c>
      <c r="B133" s="167" t="s">
        <v>174</v>
      </c>
      <c r="C133" s="160">
        <f>PI()*'MainSheet V3.4'!$J$7*Iteration!$I$29/6*(3*'MainSheet V3.4'!$D$1*Iteration!$I$29-4*Iteration!$I$29^2+6*'MainSheet V3.4'!$D$1*Iteration!$F133-6*Iteration!$F133*Iteration!$I$29)*0.000000001+PI()*'MainSheet V3.4'!$J$7*SQRT(2)*Iteration!$I$28/4*(('MainSheet V3.4'!$D$1-2*Iteration!$I$29)^2-('MainSheet V3.4'!$D$12+Iteration!$L$26+Iteration!$L$28)^2)*0.000000001</f>
        <v>0.36162003874567894</v>
      </c>
      <c r="D133" s="204" t="s">
        <v>1</v>
      </c>
      <c r="E133" s="168" t="s">
        <v>163</v>
      </c>
      <c r="F133" s="169">
        <f>25</f>
        <v>25</v>
      </c>
      <c r="G133" s="134" t="s">
        <v>0</v>
      </c>
      <c r="K133" s="136"/>
    </row>
    <row r="134" spans="1:11" ht="16.5" thickBot="1" x14ac:dyDescent="0.35">
      <c r="A134" s="167" t="s">
        <v>54</v>
      </c>
      <c r="B134" s="167" t="s">
        <v>175</v>
      </c>
      <c r="C134" s="160">
        <f>0-C125/'MainSheet V3.4'!D$6*'MainSheet V3.4'!J$7</f>
        <v>-2.7983638387080657E-2</v>
      </c>
      <c r="D134" s="204" t="s">
        <v>1</v>
      </c>
      <c r="J134" s="134"/>
      <c r="K134" s="136"/>
    </row>
    <row r="135" spans="1:11" ht="16.5" thickBot="1" x14ac:dyDescent="0.35">
      <c r="A135" s="205" t="s">
        <v>56</v>
      </c>
      <c r="B135" s="181" t="s">
        <v>118</v>
      </c>
      <c r="C135" s="164">
        <f>SUM(C130:C134)</f>
        <v>3.469730985478841</v>
      </c>
      <c r="D135" s="134" t="s">
        <v>1</v>
      </c>
      <c r="F135" s="131"/>
    </row>
    <row r="136" spans="1:11" ht="13.5" thickBot="1" x14ac:dyDescent="0.25">
      <c r="E136" s="168"/>
      <c r="F136" s="131"/>
    </row>
    <row r="137" spans="1:11" ht="16.5" thickBot="1" x14ac:dyDescent="0.35">
      <c r="A137" s="167" t="s">
        <v>190</v>
      </c>
      <c r="B137" s="167" t="s">
        <v>119</v>
      </c>
      <c r="C137" s="164">
        <f>$C$10+C127+C135</f>
        <v>8.4002310830121374</v>
      </c>
      <c r="D137" s="134" t="s">
        <v>1</v>
      </c>
    </row>
    <row r="138" spans="1:11" ht="15.75" x14ac:dyDescent="0.3">
      <c r="A138" s="167" t="s">
        <v>64</v>
      </c>
      <c r="B138" s="167" t="s">
        <v>120</v>
      </c>
      <c r="C138" s="188">
        <f>PI()*'MainSheet V3.4'!D$1^2*'MainSheet V3.4'!D$4/4/(C137+0.5*'MainSheet V3.4'!$D$3)</f>
        <v>660089.30967054341</v>
      </c>
      <c r="D138" s="134" t="s">
        <v>111</v>
      </c>
      <c r="F138" s="253" t="s">
        <v>66</v>
      </c>
      <c r="G138" s="253"/>
    </row>
    <row r="139" spans="1:11" ht="15.75" x14ac:dyDescent="0.3">
      <c r="A139" s="167" t="s">
        <v>66</v>
      </c>
      <c r="B139" s="167" t="s">
        <v>121</v>
      </c>
      <c r="C139" s="169">
        <f>IF(F140&lt;G140,F140,Iteration!G140)</f>
        <v>127.36542665182088</v>
      </c>
      <c r="D139" s="134" t="s">
        <v>0</v>
      </c>
      <c r="F139" s="190" t="s">
        <v>228</v>
      </c>
      <c r="G139" s="190" t="s">
        <v>227</v>
      </c>
    </row>
    <row r="140" spans="1:11" ht="15.75" x14ac:dyDescent="0.3">
      <c r="A140" s="167" t="s">
        <v>67</v>
      </c>
      <c r="B140" s="167" t="s">
        <v>122</v>
      </c>
      <c r="C140" s="169">
        <f>1/'MainSheet V3.4'!D$6*(('MainSheet V3.4'!D$5)/C138*10^6-'MainSheet V3.4'!J$20/C$36-$C$20/C$36)*10^3</f>
        <v>40.79340939199129</v>
      </c>
      <c r="D140" s="134" t="s">
        <v>0</v>
      </c>
      <c r="F140" s="196">
        <f>1/'MainSheet V3.4'!$D$6*('MainSheet V3.4'!$D$5/$C138*10^6-$C$14/$C$35)*10^3</f>
        <v>127.36542665182088</v>
      </c>
      <c r="G140" s="196">
        <f>POWER($F$30*$F$31*('MainSheet V3.4'!$D$9/1000)^2/4/'MainSheet V3.4'!$D$6/$C138,1/3)*1000-'MainSheet V3.4'!$D$8+Iteration!$C$14/PI()/'MainSheet V3.4'!$D$6/'MainSheet V3.4'!$D$9^2</f>
        <v>136.73509097914345</v>
      </c>
    </row>
    <row r="142" spans="1:11" x14ac:dyDescent="0.2">
      <c r="A142" s="8" t="s">
        <v>223</v>
      </c>
      <c r="B142" s="138" t="s">
        <v>224</v>
      </c>
      <c r="C142" s="16">
        <f>'MainSheet V3.4'!$D$15-Iteration!C139-'MainSheet V3.4'!$D$8-Iteration!C140-'MainSheet V3.4'!$J$12+'MainSheet V3.4'!$J$18</f>
        <v>411.34116395618787</v>
      </c>
      <c r="D142" s="123" t="s">
        <v>0</v>
      </c>
      <c r="E142" s="123"/>
    </row>
    <row r="143" spans="1:11" ht="15.75" x14ac:dyDescent="0.3">
      <c r="A143" s="8" t="s">
        <v>76</v>
      </c>
      <c r="B143" s="138" t="s">
        <v>90</v>
      </c>
      <c r="C143" s="2" t="s">
        <v>244</v>
      </c>
      <c r="D143" s="123" t="s">
        <v>0</v>
      </c>
    </row>
    <row r="145" spans="1:6" x14ac:dyDescent="0.2">
      <c r="F145" s="131"/>
    </row>
    <row r="146" spans="1:6" ht="15" x14ac:dyDescent="0.2">
      <c r="A146" s="208" t="s">
        <v>68</v>
      </c>
      <c r="B146" s="209"/>
      <c r="C146" s="210"/>
      <c r="D146" s="211"/>
    </row>
    <row r="147" spans="1:6" ht="18.75" x14ac:dyDescent="0.35">
      <c r="A147" s="212" t="s">
        <v>62</v>
      </c>
      <c r="B147" s="213" t="s">
        <v>126</v>
      </c>
      <c r="C147" s="214">
        <f>15*'MainSheet V3.4'!$J$5*C138/C122/PI()/'MainSheet V3.4'!$D$12^2</f>
        <v>271.99168646794203</v>
      </c>
      <c r="D147" s="215" t="s">
        <v>3</v>
      </c>
    </row>
    <row r="148" spans="1:6" ht="18.75" x14ac:dyDescent="0.35">
      <c r="A148" s="212" t="s">
        <v>69</v>
      </c>
      <c r="B148" s="213" t="s">
        <v>127</v>
      </c>
      <c r="C148" s="214">
        <f>240*'MainSheet V3.4'!$J$5*C138/37/C122/PI()/'MainSheet V3.4'!$D$12/'MainSheet V3.4'!D11</f>
        <v>104.04671582141651</v>
      </c>
      <c r="D148" s="215" t="s">
        <v>3</v>
      </c>
    </row>
  </sheetData>
  <sheetProtection sheet="1" objects="1" scenarios="1" selectLockedCells="1"/>
  <mergeCells count="12">
    <mergeCell ref="M25:N30"/>
    <mergeCell ref="F33:G33"/>
    <mergeCell ref="A1:L1"/>
    <mergeCell ref="A2:L2"/>
    <mergeCell ref="E40:G41"/>
    <mergeCell ref="E66:G67"/>
    <mergeCell ref="F60:G60"/>
    <mergeCell ref="F86:G86"/>
    <mergeCell ref="F112:G112"/>
    <mergeCell ref="F138:G138"/>
    <mergeCell ref="E92:G93"/>
    <mergeCell ref="E118:G119"/>
  </mergeCells>
  <phoneticPr fontId="0" type="noConversion"/>
  <printOptions gridLines="1"/>
  <pageMargins left="0.39370078740157483" right="0.39370078740157483" top="0.27559055118110237" bottom="0.27559055118110237" header="0" footer="0"/>
  <pageSetup paperSize="9" orientation="landscape" horizontalDpi="360" verticalDpi="360" r:id="rId1"/>
  <headerFooter alignWithMargins="0"/>
  <ignoredErrors>
    <ignoredError sqref="C41 C6:C7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topLeftCell="A13" workbookViewId="0">
      <selection activeCell="C29" sqref="C29"/>
    </sheetView>
  </sheetViews>
  <sheetFormatPr defaultColWidth="11.42578125" defaultRowHeight="12.75" x14ac:dyDescent="0.2"/>
  <cols>
    <col min="1" max="1" width="13.7109375" style="123" customWidth="1"/>
    <col min="2" max="4" width="11.42578125" style="123"/>
    <col min="5" max="5" width="13.85546875" style="123" bestFit="1" customWidth="1"/>
    <col min="6" max="16384" width="11.42578125" style="123"/>
  </cols>
  <sheetData>
    <row r="1" spans="1:5" ht="15.75" x14ac:dyDescent="0.25">
      <c r="A1" s="216" t="s">
        <v>20</v>
      </c>
    </row>
    <row r="3" spans="1:5" ht="15.75" x14ac:dyDescent="0.3">
      <c r="A3" s="217" t="s">
        <v>60</v>
      </c>
      <c r="B3" s="218"/>
      <c r="C3" s="205" t="s">
        <v>105</v>
      </c>
      <c r="D3" s="219">
        <v>120</v>
      </c>
      <c r="E3" s="134" t="s">
        <v>0</v>
      </c>
    </row>
    <row r="4" spans="1:5" ht="15.75" x14ac:dyDescent="0.3">
      <c r="A4" s="217" t="s">
        <v>61</v>
      </c>
      <c r="B4" s="218"/>
      <c r="C4" s="205" t="s">
        <v>108</v>
      </c>
      <c r="D4" s="219">
        <v>710</v>
      </c>
      <c r="E4" s="134" t="s">
        <v>3</v>
      </c>
    </row>
    <row r="6" spans="1:5" x14ac:dyDescent="0.2">
      <c r="C6" s="155"/>
    </row>
    <row r="7" spans="1:5" ht="15.75" x14ac:dyDescent="0.25">
      <c r="A7" s="216" t="s">
        <v>133</v>
      </c>
      <c r="B7" s="134"/>
      <c r="C7" s="161"/>
      <c r="D7" s="134"/>
      <c r="E7" s="134"/>
    </row>
    <row r="11" spans="1:5" x14ac:dyDescent="0.2">
      <c r="C11" s="220"/>
      <c r="D11" s="221"/>
      <c r="E11" s="222"/>
    </row>
    <row r="12" spans="1:5" ht="15.75" x14ac:dyDescent="0.3">
      <c r="A12" s="223" t="s">
        <v>176</v>
      </c>
      <c r="B12" s="219">
        <v>2.6</v>
      </c>
      <c r="C12" s="187">
        <v>44</v>
      </c>
      <c r="D12" s="221"/>
      <c r="E12" s="222"/>
    </row>
    <row r="13" spans="1:5" ht="15.75" x14ac:dyDescent="0.3">
      <c r="A13" s="223" t="s">
        <v>177</v>
      </c>
      <c r="B13" s="219">
        <v>0.35</v>
      </c>
      <c r="C13" s="187">
        <v>55</v>
      </c>
      <c r="D13" s="221"/>
      <c r="E13" s="222"/>
    </row>
    <row r="14" spans="1:5" ht="15.75" x14ac:dyDescent="0.3">
      <c r="A14" s="224" t="s">
        <v>178</v>
      </c>
      <c r="B14" s="219">
        <v>0.39</v>
      </c>
      <c r="C14" s="187">
        <v>0.08</v>
      </c>
    </row>
    <row r="15" spans="1:5" x14ac:dyDescent="0.2">
      <c r="A15" s="225"/>
      <c r="B15" s="221"/>
      <c r="C15" s="222"/>
    </row>
    <row r="17" spans="1:7" ht="15.75" x14ac:dyDescent="0.25">
      <c r="A17" s="216" t="s">
        <v>41</v>
      </c>
    </row>
    <row r="18" spans="1:7" ht="15.75" x14ac:dyDescent="0.25">
      <c r="A18" s="216"/>
    </row>
    <row r="19" spans="1:7" ht="15.75" x14ac:dyDescent="0.25">
      <c r="A19" s="216"/>
    </row>
    <row r="20" spans="1:7" ht="15.75" x14ac:dyDescent="0.25">
      <c r="A20" s="216"/>
    </row>
    <row r="21" spans="1:7" ht="15.75" x14ac:dyDescent="0.25">
      <c r="A21" s="216"/>
    </row>
    <row r="22" spans="1:7" ht="15.75" x14ac:dyDescent="0.25">
      <c r="A22" s="216"/>
    </row>
    <row r="24" spans="1:7" x14ac:dyDescent="0.2">
      <c r="A24" s="226" t="s">
        <v>51</v>
      </c>
      <c r="B24" s="227" t="s">
        <v>8</v>
      </c>
      <c r="C24" s="187">
        <v>0.99399999999999999</v>
      </c>
    </row>
    <row r="25" spans="1:7" ht="15.75" x14ac:dyDescent="0.3">
      <c r="A25" s="228" t="s">
        <v>84</v>
      </c>
      <c r="B25" s="227" t="s">
        <v>134</v>
      </c>
      <c r="C25" s="187">
        <v>0.28299999999999997</v>
      </c>
    </row>
    <row r="26" spans="1:7" ht="15.75" x14ac:dyDescent="0.3">
      <c r="A26" s="229"/>
      <c r="B26" s="227" t="s">
        <v>135</v>
      </c>
      <c r="C26" s="187">
        <v>6.5600000000000006E-2</v>
      </c>
    </row>
    <row r="27" spans="1:7" x14ac:dyDescent="0.2">
      <c r="A27" s="229"/>
      <c r="B27" s="227" t="s">
        <v>86</v>
      </c>
      <c r="C27" s="187">
        <v>-0.224</v>
      </c>
    </row>
    <row r="28" spans="1:7" ht="15.75" x14ac:dyDescent="0.3">
      <c r="A28" s="229"/>
      <c r="B28" s="227" t="s">
        <v>136</v>
      </c>
      <c r="C28" s="187">
        <v>134.5</v>
      </c>
    </row>
    <row r="29" spans="1:7" ht="15.75" x14ac:dyDescent="0.3">
      <c r="A29" s="230"/>
      <c r="B29" s="227" t="s">
        <v>137</v>
      </c>
      <c r="C29" s="231">
        <v>-0.14799999999999999</v>
      </c>
    </row>
    <row r="30" spans="1:7" x14ac:dyDescent="0.2">
      <c r="A30" s="232"/>
      <c r="B30" s="233"/>
      <c r="C30" s="234"/>
    </row>
    <row r="31" spans="1:7" ht="22.5" customHeight="1" x14ac:dyDescent="0.4">
      <c r="A31" s="235" t="s">
        <v>50</v>
      </c>
      <c r="B31" s="236" t="s">
        <v>19</v>
      </c>
      <c r="C31" s="237" t="s">
        <v>104</v>
      </c>
      <c r="D31" s="238">
        <f>'MainSheet V3.4'!D20</f>
        <v>7850</v>
      </c>
      <c r="E31" s="123" t="s">
        <v>4</v>
      </c>
      <c r="G31" s="239"/>
    </row>
    <row r="32" spans="1:7" x14ac:dyDescent="0.2">
      <c r="B32" s="236" t="s">
        <v>49</v>
      </c>
      <c r="C32" s="237" t="s">
        <v>103</v>
      </c>
      <c r="D32" s="238">
        <f>'MainSheet V3.4'!D22</f>
        <v>0</v>
      </c>
      <c r="E32" s="123" t="s">
        <v>2</v>
      </c>
    </row>
    <row r="34" spans="1:6" x14ac:dyDescent="0.2">
      <c r="A34" s="267" t="s">
        <v>58</v>
      </c>
      <c r="B34" s="190" t="s">
        <v>57</v>
      </c>
      <c r="C34" s="190" t="s">
        <v>49</v>
      </c>
      <c r="D34" s="190" t="s">
        <v>59</v>
      </c>
      <c r="E34" s="190" t="s">
        <v>85</v>
      </c>
    </row>
    <row r="35" spans="1:6" x14ac:dyDescent="0.2">
      <c r="A35" s="267"/>
      <c r="B35" s="240">
        <f>1/TANH($C$25+$C$26*$E$40/$E$39)</f>
        <v>1.0208111033518763</v>
      </c>
      <c r="C35" s="240">
        <f>COS($D$32*PI()/180)^$C$27</f>
        <v>1</v>
      </c>
      <c r="D35" s="240">
        <f>SQRT($E$41/$D$31)</f>
        <v>1.5138427082173795</v>
      </c>
      <c r="E35" s="241">
        <f>(C28+C29*E42)*E42</f>
        <v>24965.200000000004</v>
      </c>
    </row>
    <row r="37" spans="1:6" ht="15.75" x14ac:dyDescent="0.3">
      <c r="A37" s="235" t="s">
        <v>62</v>
      </c>
      <c r="C37" s="132" t="s">
        <v>232</v>
      </c>
      <c r="D37" s="242" t="s">
        <v>128</v>
      </c>
      <c r="E37" s="243">
        <f>'MainSheet V3.4'!D7/'MainSheet V3.4'!D9</f>
        <v>0.47058823529411764</v>
      </c>
      <c r="F37" s="244"/>
    </row>
    <row r="38" spans="1:6" ht="15.75" x14ac:dyDescent="0.3">
      <c r="B38" s="167" t="s">
        <v>52</v>
      </c>
      <c r="D38" s="242" t="s">
        <v>129</v>
      </c>
      <c r="E38" s="245">
        <f>'MainSheet V3.4'!D15</f>
        <v>682</v>
      </c>
      <c r="F38" s="123" t="s">
        <v>0</v>
      </c>
    </row>
    <row r="39" spans="1:6" ht="15.75" x14ac:dyDescent="0.3">
      <c r="B39" s="167" t="s">
        <v>27</v>
      </c>
      <c r="D39" s="167" t="s">
        <v>130</v>
      </c>
      <c r="E39" s="246">
        <f>'MainSheet V3.4'!D16</f>
        <v>21.915674497958442</v>
      </c>
      <c r="F39" s="123" t="s">
        <v>0</v>
      </c>
    </row>
    <row r="40" spans="1:6" ht="15.75" x14ac:dyDescent="0.3">
      <c r="B40" s="167" t="s">
        <v>40</v>
      </c>
      <c r="D40" s="167" t="s">
        <v>131</v>
      </c>
      <c r="E40" s="245">
        <f>E38-'MainSheet V3.4'!$D$8*(1-1/3*(1+Ballistics!E37+Ballistics!E37^2))</f>
        <v>669.79238754325263</v>
      </c>
      <c r="F40" s="123" t="s">
        <v>0</v>
      </c>
    </row>
    <row r="41" spans="1:6" ht="15.75" x14ac:dyDescent="0.3">
      <c r="B41" s="167" t="s">
        <v>19</v>
      </c>
      <c r="D41" s="247" t="s">
        <v>132</v>
      </c>
      <c r="E41" s="248">
        <f>'MainSheet V3.4'!D6</f>
        <v>17990</v>
      </c>
      <c r="F41" s="123" t="s">
        <v>4</v>
      </c>
    </row>
    <row r="42" spans="1:6" x14ac:dyDescent="0.2">
      <c r="B42" s="167" t="s">
        <v>85</v>
      </c>
      <c r="D42" s="167" t="s">
        <v>85</v>
      </c>
      <c r="E42" s="248">
        <f>'MainSheet V3.4'!D21</f>
        <v>260</v>
      </c>
    </row>
    <row r="44" spans="1:6" x14ac:dyDescent="0.2">
      <c r="A44" s="217" t="s">
        <v>151</v>
      </c>
      <c r="B44" s="249" t="s">
        <v>12</v>
      </c>
      <c r="C44" s="190" t="s">
        <v>13</v>
      </c>
      <c r="D44" s="190" t="s">
        <v>11</v>
      </c>
      <c r="E44" s="190" t="s">
        <v>14</v>
      </c>
    </row>
    <row r="45" spans="1:6" x14ac:dyDescent="0.2">
      <c r="A45" s="217" t="s">
        <v>152</v>
      </c>
      <c r="B45" s="250">
        <f>'MainSheet V3.4'!J6</f>
        <v>1.7480600218509246</v>
      </c>
      <c r="C45" s="250">
        <f>'MainSheet V3.4'!I22</f>
        <v>1.6930600218509246</v>
      </c>
      <c r="D45" s="250">
        <f>'MainSheet V3.4'!I23</f>
        <v>1.6380600218509247</v>
      </c>
      <c r="E45" s="250">
        <f>'MainSheet V3.4'!I24</f>
        <v>1.5830600218509248</v>
      </c>
      <c r="F45" s="123" t="s">
        <v>110</v>
      </c>
    </row>
    <row r="46" spans="1:6" x14ac:dyDescent="0.2">
      <c r="A46" s="217" t="s">
        <v>41</v>
      </c>
      <c r="B46" s="251">
        <f>$C$24*$E$40*$B35*$C$35*$D$35*EXP(-$E$35/$E$41/B45^2)</f>
        <v>653.31341495557967</v>
      </c>
      <c r="C46" s="251">
        <f>$C$24*$E$40*$B35*$C$35*$D$35*EXP(-$E$35/$E$41/C45^2)</f>
        <v>634.01437879886839</v>
      </c>
      <c r="D46" s="252">
        <f>$C$24*$E$40*$B35*$C$35*$D$35*EXP(-$E$35/$E$41/D45^2)</f>
        <v>613.39890351412021</v>
      </c>
      <c r="E46" s="251">
        <f>$C$24*$E$40*$B35*$C$35*$D$35*EXP(-$E$35/$E$41/E45^2)</f>
        <v>591.37739096317478</v>
      </c>
      <c r="F46" s="123" t="s">
        <v>0</v>
      </c>
    </row>
  </sheetData>
  <sheetProtection sheet="1" objects="1" scenarios="1" selectLockedCells="1"/>
  <mergeCells count="1">
    <mergeCell ref="A34:A35"/>
  </mergeCells>
  <phoneticPr fontId="2" type="noConversion"/>
  <printOptions gridLines="1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ignoredErrors>
    <ignoredError sqref="E38:E42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 sizeWithCells="1">
              <from>
                <xdr:col>0</xdr:col>
                <xdr:colOff>514350</xdr:colOff>
                <xdr:row>17</xdr:row>
                <xdr:rowOff>133350</xdr:rowOff>
              </from>
              <to>
                <xdr:col>6</xdr:col>
                <xdr:colOff>476250</xdr:colOff>
                <xdr:row>22</xdr:row>
                <xdr:rowOff>19050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 sizeWithCells="1">
              <from>
                <xdr:col>0</xdr:col>
                <xdr:colOff>85725</xdr:colOff>
                <xdr:row>7</xdr:row>
                <xdr:rowOff>104775</xdr:rowOff>
              </from>
              <to>
                <xdr:col>2</xdr:col>
                <xdr:colOff>723900</xdr:colOff>
                <xdr:row>10</xdr:row>
                <xdr:rowOff>104775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r:id="rId9">
            <anchor moveWithCells="1">
              <from>
                <xdr:col>3</xdr:col>
                <xdr:colOff>219075</xdr:colOff>
                <xdr:row>24</xdr:row>
                <xdr:rowOff>38100</xdr:rowOff>
              </from>
              <to>
                <xdr:col>6</xdr:col>
                <xdr:colOff>514350</xdr:colOff>
                <xdr:row>27</xdr:row>
                <xdr:rowOff>57150</xdr:rowOff>
              </to>
            </anchor>
          </objectPr>
        </oleObject>
      </mc:Choice>
      <mc:Fallback>
        <oleObject progId="Equation.3" shapeId="512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5:I219"/>
  <sheetViews>
    <sheetView topLeftCell="A13" workbookViewId="0">
      <selection activeCell="A27" sqref="A27"/>
    </sheetView>
  </sheetViews>
  <sheetFormatPr defaultColWidth="11.42578125" defaultRowHeight="12.75" x14ac:dyDescent="0.2"/>
  <cols>
    <col min="1" max="1" width="8.5703125" style="11" customWidth="1"/>
    <col min="2" max="2" width="8.140625" style="11" customWidth="1"/>
    <col min="3" max="5" width="7.140625" style="11" customWidth="1"/>
    <col min="6" max="16384" width="11.42578125" style="13"/>
  </cols>
  <sheetData>
    <row r="15" spans="1:6" x14ac:dyDescent="0.2">
      <c r="A15" s="10" t="s">
        <v>5</v>
      </c>
      <c r="B15" s="10" t="s">
        <v>6</v>
      </c>
      <c r="F15" s="12" t="s">
        <v>107</v>
      </c>
    </row>
    <row r="16" spans="1:6" x14ac:dyDescent="0.2">
      <c r="A16" s="10">
        <v>0</v>
      </c>
      <c r="C16" s="10">
        <v>0</v>
      </c>
      <c r="D16" s="10"/>
      <c r="E16" s="10"/>
      <c r="F16" s="12" t="s">
        <v>106</v>
      </c>
    </row>
    <row r="17" spans="1:6" x14ac:dyDescent="0.2">
      <c r="A17" s="10">
        <v>950</v>
      </c>
      <c r="C17" s="10">
        <v>0</v>
      </c>
      <c r="D17" s="10"/>
      <c r="E17" s="10"/>
      <c r="F17" s="12"/>
    </row>
    <row r="18" spans="1:6" x14ac:dyDescent="0.2">
      <c r="A18" s="10"/>
      <c r="C18" s="10"/>
      <c r="D18" s="10"/>
      <c r="E18" s="10"/>
      <c r="F18" s="12"/>
    </row>
    <row r="19" spans="1:6" x14ac:dyDescent="0.2">
      <c r="A19" s="11">
        <f>A24</f>
        <v>724</v>
      </c>
      <c r="B19" s="13"/>
      <c r="D19" s="11">
        <f>B25</f>
        <v>4</v>
      </c>
      <c r="E19" s="13"/>
      <c r="F19" s="12" t="s">
        <v>191</v>
      </c>
    </row>
    <row r="20" spans="1:6" x14ac:dyDescent="0.2">
      <c r="A20" s="11">
        <f>'MainSheet V3.4'!$J$1</f>
        <v>740</v>
      </c>
      <c r="B20" s="13"/>
      <c r="D20" s="11">
        <f>1</f>
        <v>1</v>
      </c>
      <c r="E20" s="13"/>
      <c r="F20" s="12"/>
    </row>
    <row r="21" spans="1:6" x14ac:dyDescent="0.2">
      <c r="A21" s="11">
        <f>A20</f>
        <v>740</v>
      </c>
      <c r="D21" s="11">
        <f>-D20</f>
        <v>-1</v>
      </c>
      <c r="F21" s="12"/>
    </row>
    <row r="22" spans="1:6" x14ac:dyDescent="0.2">
      <c r="A22" s="11">
        <f>A19</f>
        <v>724</v>
      </c>
      <c r="D22" s="11">
        <f>-D19</f>
        <v>-4</v>
      </c>
      <c r="F22" s="12"/>
    </row>
    <row r="23" spans="1:6" x14ac:dyDescent="0.2">
      <c r="A23" s="10"/>
      <c r="C23" s="10"/>
      <c r="D23" s="10"/>
      <c r="E23" s="10"/>
      <c r="F23" s="12"/>
    </row>
    <row r="24" spans="1:6" x14ac:dyDescent="0.2">
      <c r="A24" s="11">
        <f>'MainSheet V3.4'!J1-'MainSheet V3.4'!J3</f>
        <v>724</v>
      </c>
      <c r="B24" s="11">
        <f>0-B25</f>
        <v>-4</v>
      </c>
      <c r="F24" s="12" t="s">
        <v>192</v>
      </c>
    </row>
    <row r="25" spans="1:6" x14ac:dyDescent="0.2">
      <c r="A25" s="11">
        <f>A24</f>
        <v>724</v>
      </c>
      <c r="B25" s="11">
        <f>'MainSheet V3.4'!D7/2</f>
        <v>4</v>
      </c>
      <c r="F25" s="12"/>
    </row>
    <row r="26" spans="1:6" x14ac:dyDescent="0.2">
      <c r="A26" s="11">
        <f>A25-'MainSheet V3.4'!D8</f>
        <v>696</v>
      </c>
      <c r="B26" s="11">
        <f>'MainSheet V3.4'!D9/2</f>
        <v>8.5</v>
      </c>
      <c r="F26" s="12"/>
    </row>
    <row r="27" spans="1:6" x14ac:dyDescent="0.2">
      <c r="A27" s="11">
        <f>A26-'MainSheet V3.4'!D10</f>
        <v>568.63457334817917</v>
      </c>
      <c r="B27" s="11">
        <f>B26</f>
        <v>8.5</v>
      </c>
      <c r="F27" s="12" t="s">
        <v>72</v>
      </c>
    </row>
    <row r="28" spans="1:6" x14ac:dyDescent="0.2">
      <c r="A28" s="11">
        <f>A27</f>
        <v>568.63457334817917</v>
      </c>
      <c r="B28" s="11">
        <f>'MainSheet V3.4'!D12/2</f>
        <v>11.5</v>
      </c>
      <c r="F28" s="12"/>
    </row>
    <row r="29" spans="1:6" x14ac:dyDescent="0.2">
      <c r="A29" s="11">
        <f>A28-'MainSheet V3.4'!J10</f>
        <v>157.2934093919913</v>
      </c>
      <c r="B29" s="11">
        <f>B28</f>
        <v>11.5</v>
      </c>
      <c r="F29" s="12"/>
    </row>
    <row r="30" spans="1:6" x14ac:dyDescent="0.2">
      <c r="A30" s="11">
        <f>A29</f>
        <v>157.2934093919913</v>
      </c>
      <c r="B30" s="11">
        <f>'MainSheet V3.4'!D13/2</f>
        <v>11.5</v>
      </c>
      <c r="F30" s="12"/>
    </row>
    <row r="31" spans="1:6" x14ac:dyDescent="0.2">
      <c r="A31" s="11">
        <f>'MainSheet V3.4'!J12</f>
        <v>116.5</v>
      </c>
      <c r="B31" s="11">
        <f>B30</f>
        <v>11.5</v>
      </c>
      <c r="F31" s="12"/>
    </row>
    <row r="32" spans="1:6" x14ac:dyDescent="0.2">
      <c r="A32" s="11">
        <f>A31</f>
        <v>116.5</v>
      </c>
      <c r="B32" s="11">
        <f>B31-'MainSheet V3.4'!J16</f>
        <v>9.5</v>
      </c>
      <c r="F32" s="12"/>
    </row>
    <row r="33" spans="1:6" x14ac:dyDescent="0.2">
      <c r="A33" s="11">
        <f>'MainSheet V3.4'!J18</f>
        <v>42</v>
      </c>
      <c r="B33" s="11">
        <f>B32</f>
        <v>9.5</v>
      </c>
      <c r="F33" s="12"/>
    </row>
    <row r="34" spans="1:6" x14ac:dyDescent="0.2">
      <c r="A34" s="11">
        <f>A33</f>
        <v>42</v>
      </c>
      <c r="B34" s="11">
        <f>0-B33</f>
        <v>-9.5</v>
      </c>
      <c r="F34" s="12"/>
    </row>
    <row r="35" spans="1:6" x14ac:dyDescent="0.2">
      <c r="A35" s="11">
        <f>A32</f>
        <v>116.5</v>
      </c>
      <c r="B35" s="11">
        <f>0-B32</f>
        <v>-9.5</v>
      </c>
      <c r="F35" s="12"/>
    </row>
    <row r="36" spans="1:6" x14ac:dyDescent="0.2">
      <c r="A36" s="11">
        <f>A35</f>
        <v>116.5</v>
      </c>
      <c r="B36" s="11">
        <f>0-B31</f>
        <v>-11.5</v>
      </c>
      <c r="F36" s="12"/>
    </row>
    <row r="37" spans="1:6" x14ac:dyDescent="0.2">
      <c r="A37" s="11">
        <f>A30</f>
        <v>157.2934093919913</v>
      </c>
      <c r="B37" s="11">
        <f>0-B30</f>
        <v>-11.5</v>
      </c>
      <c r="F37" s="12"/>
    </row>
    <row r="38" spans="1:6" x14ac:dyDescent="0.2">
      <c r="A38" s="11">
        <f>A37</f>
        <v>157.2934093919913</v>
      </c>
      <c r="B38" s="11">
        <f>0-B29</f>
        <v>-11.5</v>
      </c>
      <c r="F38" s="12"/>
    </row>
    <row r="39" spans="1:6" x14ac:dyDescent="0.2">
      <c r="A39" s="11">
        <f>A28</f>
        <v>568.63457334817917</v>
      </c>
      <c r="B39" s="11">
        <f>0-B28</f>
        <v>-11.5</v>
      </c>
      <c r="F39" s="12"/>
    </row>
    <row r="40" spans="1:6" x14ac:dyDescent="0.2">
      <c r="A40" s="11">
        <f>A39</f>
        <v>568.63457334817917</v>
      </c>
      <c r="B40" s="11">
        <f>0-B27</f>
        <v>-8.5</v>
      </c>
      <c r="F40" s="12"/>
    </row>
    <row r="41" spans="1:6" x14ac:dyDescent="0.2">
      <c r="A41" s="11">
        <f>A26</f>
        <v>696</v>
      </c>
      <c r="B41" s="11">
        <f>0-B26</f>
        <v>-8.5</v>
      </c>
      <c r="F41" s="12"/>
    </row>
    <row r="42" spans="1:6" x14ac:dyDescent="0.2">
      <c r="A42" s="11">
        <f>A25</f>
        <v>724</v>
      </c>
      <c r="B42" s="11">
        <f>B24</f>
        <v>-4</v>
      </c>
      <c r="F42" s="12"/>
    </row>
    <row r="43" spans="1:6" x14ac:dyDescent="0.2">
      <c r="F43" s="12"/>
    </row>
    <row r="44" spans="1:6" x14ac:dyDescent="0.2">
      <c r="A44" s="11">
        <f>A35</f>
        <v>116.5</v>
      </c>
      <c r="C44" s="11">
        <f>B32</f>
        <v>9.5</v>
      </c>
      <c r="F44" s="12" t="s">
        <v>74</v>
      </c>
    </row>
    <row r="45" spans="1:6" x14ac:dyDescent="0.2">
      <c r="A45" s="11">
        <f>A35</f>
        <v>116.5</v>
      </c>
      <c r="C45" s="11">
        <f>B35</f>
        <v>-9.5</v>
      </c>
      <c r="F45" s="12"/>
    </row>
    <row r="46" spans="1:6" x14ac:dyDescent="0.2">
      <c r="F46" s="12"/>
    </row>
    <row r="47" spans="1:6" x14ac:dyDescent="0.2">
      <c r="A47" s="11">
        <f>A26</f>
        <v>696</v>
      </c>
      <c r="C47" s="11">
        <f>B26</f>
        <v>8.5</v>
      </c>
      <c r="F47" s="12"/>
    </row>
    <row r="48" spans="1:6" x14ac:dyDescent="0.2">
      <c r="A48" s="11">
        <f>A41</f>
        <v>696</v>
      </c>
      <c r="C48" s="11">
        <f>B41</f>
        <v>-8.5</v>
      </c>
      <c r="F48" s="12"/>
    </row>
    <row r="49" spans="1:6" x14ac:dyDescent="0.2">
      <c r="F49" s="12"/>
    </row>
    <row r="50" spans="1:6" x14ac:dyDescent="0.2">
      <c r="A50" s="11">
        <f>A41-'MainSheet V3.4'!D10</f>
        <v>568.63457334817917</v>
      </c>
      <c r="C50" s="11">
        <f>'MainSheet V3.4'!D11/2+1</f>
        <v>14</v>
      </c>
      <c r="F50" s="12" t="s">
        <v>54</v>
      </c>
    </row>
    <row r="51" spans="1:6" x14ac:dyDescent="0.2">
      <c r="A51" s="11">
        <f>A50-'MainSheet V3.4'!J10</f>
        <v>157.2934093919913</v>
      </c>
      <c r="C51" s="11">
        <f>C50</f>
        <v>14</v>
      </c>
      <c r="F51" s="12"/>
    </row>
    <row r="52" spans="1:6" x14ac:dyDescent="0.2">
      <c r="A52" s="11">
        <f>A51</f>
        <v>157.2934093919913</v>
      </c>
      <c r="C52" s="11">
        <f>0-C51</f>
        <v>-14</v>
      </c>
      <c r="F52" s="12"/>
    </row>
    <row r="53" spans="1:6" x14ac:dyDescent="0.2">
      <c r="A53" s="11">
        <f>A50</f>
        <v>568.63457334817917</v>
      </c>
      <c r="C53" s="11">
        <f>C52</f>
        <v>-14</v>
      </c>
      <c r="F53" s="12"/>
    </row>
    <row r="54" spans="1:6" x14ac:dyDescent="0.2">
      <c r="A54" s="11">
        <f>A53</f>
        <v>568.63457334817917</v>
      </c>
      <c r="C54" s="11">
        <f>C50</f>
        <v>14</v>
      </c>
      <c r="F54" s="12"/>
    </row>
    <row r="55" spans="1:6" x14ac:dyDescent="0.2">
      <c r="F55" s="12"/>
    </row>
    <row r="56" spans="1:6" x14ac:dyDescent="0.2">
      <c r="A56" s="11">
        <f>'MainSheet V3.4'!J12</f>
        <v>116.5</v>
      </c>
      <c r="D56" s="11">
        <f>B31</f>
        <v>11.5</v>
      </c>
      <c r="F56" s="12" t="s">
        <v>73</v>
      </c>
    </row>
    <row r="57" spans="1:6" x14ac:dyDescent="0.2">
      <c r="A57" s="11">
        <f>'MainSheet V3.4'!J12*'MainSheet V3.4'!J13</f>
        <v>25.746500000000001</v>
      </c>
      <c r="D57" s="11">
        <f>1/2*'MainSheet V3.4'!J14</f>
        <v>45</v>
      </c>
      <c r="F57" s="12"/>
    </row>
    <row r="58" spans="1:6" x14ac:dyDescent="0.2">
      <c r="A58" s="11">
        <v>0</v>
      </c>
      <c r="D58" s="11">
        <f>D57</f>
        <v>45</v>
      </c>
      <c r="F58" s="12"/>
    </row>
    <row r="59" spans="1:6" x14ac:dyDescent="0.2">
      <c r="A59" s="11">
        <v>0</v>
      </c>
      <c r="D59" s="11">
        <f>0-D58</f>
        <v>-45</v>
      </c>
      <c r="F59" s="12"/>
    </row>
    <row r="60" spans="1:6" x14ac:dyDescent="0.2">
      <c r="A60" s="11">
        <f>A57</f>
        <v>25.746500000000001</v>
      </c>
      <c r="D60" s="11">
        <f>D59</f>
        <v>-45</v>
      </c>
      <c r="F60" s="12"/>
    </row>
    <row r="61" spans="1:6" x14ac:dyDescent="0.2">
      <c r="A61" s="11">
        <f>A56</f>
        <v>116.5</v>
      </c>
      <c r="D61" s="11">
        <f>0-D56</f>
        <v>-11.5</v>
      </c>
      <c r="F61" s="12"/>
    </row>
    <row r="62" spans="1:6" x14ac:dyDescent="0.2">
      <c r="F62" s="12"/>
    </row>
    <row r="63" spans="1:6" x14ac:dyDescent="0.2">
      <c r="A63" s="11">
        <v>0</v>
      </c>
      <c r="D63" s="11">
        <f>D56</f>
        <v>11.5</v>
      </c>
      <c r="F63" s="12"/>
    </row>
    <row r="64" spans="1:6" x14ac:dyDescent="0.2">
      <c r="A64" s="11">
        <f>A56</f>
        <v>116.5</v>
      </c>
      <c r="D64" s="11">
        <f>D56</f>
        <v>11.5</v>
      </c>
      <c r="F64" s="12"/>
    </row>
    <row r="65" spans="1:6" x14ac:dyDescent="0.2">
      <c r="F65" s="12"/>
    </row>
    <row r="66" spans="1:6" x14ac:dyDescent="0.2">
      <c r="A66" s="11">
        <v>0</v>
      </c>
      <c r="D66" s="11">
        <f>D61</f>
        <v>-11.5</v>
      </c>
      <c r="F66" s="12"/>
    </row>
    <row r="67" spans="1:6" x14ac:dyDescent="0.2">
      <c r="A67" s="11">
        <f>A64</f>
        <v>116.5</v>
      </c>
      <c r="D67" s="11">
        <f>D66</f>
        <v>-11.5</v>
      </c>
      <c r="F67" s="12"/>
    </row>
    <row r="68" spans="1:6" x14ac:dyDescent="0.2">
      <c r="F68" s="12"/>
    </row>
    <row r="69" spans="1:6" x14ac:dyDescent="0.2">
      <c r="A69" s="11">
        <v>0</v>
      </c>
      <c r="D69" s="11">
        <f>B33</f>
        <v>9.5</v>
      </c>
      <c r="F69" s="12"/>
    </row>
    <row r="70" spans="1:6" x14ac:dyDescent="0.2">
      <c r="A70" s="11">
        <f>A33</f>
        <v>42</v>
      </c>
      <c r="D70" s="11">
        <f>D69</f>
        <v>9.5</v>
      </c>
      <c r="F70" s="12"/>
    </row>
    <row r="71" spans="1:6" x14ac:dyDescent="0.2">
      <c r="F71" s="12"/>
    </row>
    <row r="72" spans="1:6" x14ac:dyDescent="0.2">
      <c r="A72" s="11">
        <v>0</v>
      </c>
      <c r="D72" s="11">
        <f>B34</f>
        <v>-9.5</v>
      </c>
      <c r="F72" s="12"/>
    </row>
    <row r="73" spans="1:6" x14ac:dyDescent="0.2">
      <c r="A73" s="11">
        <f>A70</f>
        <v>42</v>
      </c>
      <c r="D73" s="11">
        <f>D72</f>
        <v>-9.5</v>
      </c>
      <c r="F73" s="12"/>
    </row>
    <row r="74" spans="1:6" x14ac:dyDescent="0.2">
      <c r="F74" s="12"/>
    </row>
    <row r="75" spans="1:6" x14ac:dyDescent="0.2">
      <c r="A75" s="11">
        <f>A50</f>
        <v>568.63457334817917</v>
      </c>
      <c r="E75" s="11">
        <f>'MainSheet V3.4'!D11/2</f>
        <v>13</v>
      </c>
      <c r="F75" s="12" t="s">
        <v>69</v>
      </c>
    </row>
    <row r="76" spans="1:6" x14ac:dyDescent="0.2">
      <c r="A76" s="11">
        <f>A75</f>
        <v>568.63457334817917</v>
      </c>
      <c r="E76" s="11">
        <f>'MainSheet V3.4'!D1/2</f>
        <v>60</v>
      </c>
      <c r="F76" s="12"/>
    </row>
    <row r="77" spans="1:6" x14ac:dyDescent="0.2">
      <c r="A77" s="11">
        <f>A76-Iteration!F27</f>
        <v>543.63457334817917</v>
      </c>
      <c r="E77" s="11">
        <f>E76</f>
        <v>60</v>
      </c>
      <c r="F77" s="12"/>
    </row>
    <row r="78" spans="1:6" x14ac:dyDescent="0.2">
      <c r="A78" s="11">
        <f>A75-Iteration!L25</f>
        <v>507.5047798378547</v>
      </c>
      <c r="E78" s="11">
        <f>'MainSheet V3.4'!D11/2+Iteration!L26</f>
        <v>25.370206489675514</v>
      </c>
      <c r="F78" s="12"/>
    </row>
    <row r="79" spans="1:6" x14ac:dyDescent="0.2">
      <c r="A79" s="11">
        <f>A75-Iteration!F26-Iteration!F27</f>
        <v>375.88809447493975</v>
      </c>
      <c r="E79" s="11">
        <f>'MainSheet V3.4'!D11/2+Iteration!I27</f>
        <v>42.099999999999994</v>
      </c>
      <c r="F79" s="12"/>
    </row>
    <row r="80" spans="1:6" x14ac:dyDescent="0.2">
      <c r="A80" s="11">
        <f>A79</f>
        <v>375.88809447493975</v>
      </c>
      <c r="E80" s="11">
        <f>'MainSheet V3.4'!D1/2</f>
        <v>60</v>
      </c>
      <c r="F80" s="12"/>
    </row>
    <row r="81" spans="1:9" x14ac:dyDescent="0.2">
      <c r="A81" s="11">
        <f>A80-Iteration!F25</f>
        <v>333.63457334817917</v>
      </c>
      <c r="E81" s="11">
        <f>E80</f>
        <v>60</v>
      </c>
      <c r="F81" s="12"/>
    </row>
    <row r="82" spans="1:9" x14ac:dyDescent="0.2">
      <c r="A82" s="11">
        <f>A81</f>
        <v>333.63457334817917</v>
      </c>
      <c r="E82" s="11">
        <f>'MainSheet V3.4'!D11/2+Iteration!I25</f>
        <v>39.674999999999997</v>
      </c>
      <c r="F82" s="12"/>
    </row>
    <row r="83" spans="1:9" x14ac:dyDescent="0.2">
      <c r="A83" s="11">
        <f>A82-Iteration!F130</f>
        <v>157.28603247966362</v>
      </c>
      <c r="E83" s="11">
        <f>'MainSheet V3.4'!D11/2+Iteration!I24</f>
        <v>17.600000000000001</v>
      </c>
      <c r="F83" s="12"/>
    </row>
    <row r="84" spans="1:9" x14ac:dyDescent="0.2">
      <c r="A84" s="11">
        <f>A83</f>
        <v>157.28603247966362</v>
      </c>
      <c r="E84" s="11">
        <f>E75</f>
        <v>13</v>
      </c>
      <c r="F84" s="12"/>
    </row>
    <row r="85" spans="1:9" x14ac:dyDescent="0.2">
      <c r="F85" s="12"/>
    </row>
    <row r="86" spans="1:9" x14ac:dyDescent="0.2">
      <c r="A86" s="11">
        <f>A75</f>
        <v>568.63457334817917</v>
      </c>
      <c r="E86" s="11">
        <f>E83</f>
        <v>17.600000000000001</v>
      </c>
      <c r="F86" s="12"/>
    </row>
    <row r="87" spans="1:9" x14ac:dyDescent="0.2">
      <c r="A87" s="11">
        <f>A86-Iteration!L27</f>
        <v>518.81848833683944</v>
      </c>
      <c r="E87" s="11">
        <f>'MainSheet V3.4'!D11/2+Iteration!L28</f>
        <v>23.932121291722723</v>
      </c>
      <c r="F87" s="12"/>
    </row>
    <row r="88" spans="1:9" x14ac:dyDescent="0.2">
      <c r="A88" s="11">
        <f>A86-Iteration!L29</f>
        <v>548.94828184716391</v>
      </c>
      <c r="E88" s="11">
        <f>'MainSheet V3.4'!D11/2+Iteration!L30</f>
        <v>55.5</v>
      </c>
      <c r="F88" s="12"/>
    </row>
    <row r="89" spans="1:9" x14ac:dyDescent="0.2">
      <c r="A89" s="11">
        <f>A86</f>
        <v>568.63457334817917</v>
      </c>
      <c r="E89" s="11">
        <f>E88</f>
        <v>55.5</v>
      </c>
      <c r="F89" s="12"/>
    </row>
    <row r="90" spans="1:9" x14ac:dyDescent="0.2">
      <c r="A90" s="13"/>
      <c r="B90" s="13"/>
      <c r="C90" s="13"/>
      <c r="D90" s="13"/>
      <c r="E90" s="13"/>
      <c r="F90" s="12"/>
    </row>
    <row r="91" spans="1:9" x14ac:dyDescent="0.2">
      <c r="A91" s="11">
        <f>A75</f>
        <v>568.63457334817917</v>
      </c>
      <c r="E91" s="11">
        <f>-E75</f>
        <v>-13</v>
      </c>
      <c r="F91" s="11"/>
      <c r="G91" s="11"/>
      <c r="H91" s="11"/>
      <c r="I91" s="11"/>
    </row>
    <row r="92" spans="1:9" x14ac:dyDescent="0.2">
      <c r="A92" s="11">
        <f t="shared" ref="A92:A105" si="0">A76</f>
        <v>568.63457334817917</v>
      </c>
      <c r="E92" s="11">
        <f t="shared" ref="E92:E105" si="1">-E76</f>
        <v>-60</v>
      </c>
      <c r="F92" s="11"/>
      <c r="G92" s="11"/>
      <c r="H92" s="11"/>
      <c r="I92" s="11"/>
    </row>
    <row r="93" spans="1:9" x14ac:dyDescent="0.2">
      <c r="A93" s="11">
        <f t="shared" si="0"/>
        <v>543.63457334817917</v>
      </c>
      <c r="E93" s="11">
        <f t="shared" si="1"/>
        <v>-60</v>
      </c>
      <c r="F93" s="11"/>
      <c r="G93" s="11"/>
      <c r="H93" s="11"/>
      <c r="I93" s="11"/>
    </row>
    <row r="94" spans="1:9" x14ac:dyDescent="0.2">
      <c r="A94" s="11">
        <f t="shared" si="0"/>
        <v>507.5047798378547</v>
      </c>
      <c r="E94" s="11">
        <f t="shared" si="1"/>
        <v>-25.370206489675514</v>
      </c>
      <c r="F94" s="11"/>
      <c r="G94" s="11"/>
      <c r="H94" s="11"/>
      <c r="I94" s="11"/>
    </row>
    <row r="95" spans="1:9" x14ac:dyDescent="0.2">
      <c r="A95" s="11">
        <f t="shared" si="0"/>
        <v>375.88809447493975</v>
      </c>
      <c r="E95" s="11">
        <f t="shared" si="1"/>
        <v>-42.099999999999994</v>
      </c>
      <c r="F95" s="11"/>
      <c r="G95" s="11"/>
      <c r="H95" s="11"/>
      <c r="I95" s="11"/>
    </row>
    <row r="96" spans="1:9" x14ac:dyDescent="0.2">
      <c r="A96" s="11">
        <f t="shared" si="0"/>
        <v>375.88809447493975</v>
      </c>
      <c r="E96" s="11">
        <f t="shared" si="1"/>
        <v>-60</v>
      </c>
      <c r="F96" s="11"/>
      <c r="G96" s="11"/>
      <c r="H96" s="11"/>
      <c r="I96" s="11"/>
    </row>
    <row r="97" spans="1:9" x14ac:dyDescent="0.2">
      <c r="A97" s="11">
        <f t="shared" si="0"/>
        <v>333.63457334817917</v>
      </c>
      <c r="E97" s="11">
        <f t="shared" si="1"/>
        <v>-60</v>
      </c>
      <c r="F97" s="11"/>
      <c r="G97" s="11"/>
      <c r="H97" s="11"/>
      <c r="I97" s="11"/>
    </row>
    <row r="98" spans="1:9" x14ac:dyDescent="0.2">
      <c r="A98" s="11">
        <f t="shared" si="0"/>
        <v>333.63457334817917</v>
      </c>
      <c r="E98" s="11">
        <f t="shared" si="1"/>
        <v>-39.674999999999997</v>
      </c>
      <c r="F98" s="11"/>
      <c r="G98" s="11"/>
      <c r="H98" s="11"/>
      <c r="I98" s="11"/>
    </row>
    <row r="99" spans="1:9" x14ac:dyDescent="0.2">
      <c r="A99" s="11">
        <f t="shared" si="0"/>
        <v>157.28603247966362</v>
      </c>
      <c r="E99" s="11">
        <f t="shared" si="1"/>
        <v>-17.600000000000001</v>
      </c>
      <c r="F99" s="11"/>
      <c r="G99" s="11"/>
      <c r="H99" s="11"/>
      <c r="I99" s="11"/>
    </row>
    <row r="100" spans="1:9" x14ac:dyDescent="0.2">
      <c r="A100" s="11">
        <f t="shared" si="0"/>
        <v>157.28603247966362</v>
      </c>
      <c r="E100" s="11">
        <f t="shared" si="1"/>
        <v>-13</v>
      </c>
      <c r="F100" s="11"/>
      <c r="G100" s="11"/>
      <c r="H100" s="11"/>
      <c r="I100" s="11"/>
    </row>
    <row r="101" spans="1:9" x14ac:dyDescent="0.2">
      <c r="F101" s="11"/>
      <c r="G101" s="11"/>
      <c r="H101" s="11"/>
      <c r="I101" s="11"/>
    </row>
    <row r="102" spans="1:9" x14ac:dyDescent="0.2">
      <c r="A102" s="11">
        <f>A86</f>
        <v>568.63457334817917</v>
      </c>
      <c r="E102" s="11">
        <f t="shared" si="1"/>
        <v>-17.600000000000001</v>
      </c>
      <c r="F102" s="11"/>
      <c r="G102" s="11"/>
      <c r="H102" s="11"/>
      <c r="I102" s="11"/>
    </row>
    <row r="103" spans="1:9" x14ac:dyDescent="0.2">
      <c r="A103" s="11">
        <f t="shared" si="0"/>
        <v>518.81848833683944</v>
      </c>
      <c r="E103" s="11">
        <f t="shared" si="1"/>
        <v>-23.932121291722723</v>
      </c>
      <c r="F103" s="11"/>
      <c r="G103" s="11"/>
      <c r="H103" s="11"/>
      <c r="I103" s="11"/>
    </row>
    <row r="104" spans="1:9" x14ac:dyDescent="0.2">
      <c r="A104" s="11">
        <f t="shared" si="0"/>
        <v>548.94828184716391</v>
      </c>
      <c r="E104" s="11">
        <f t="shared" si="1"/>
        <v>-55.5</v>
      </c>
      <c r="F104" s="11"/>
      <c r="G104" s="11"/>
      <c r="H104" s="11"/>
      <c r="I104" s="11"/>
    </row>
    <row r="105" spans="1:9" x14ac:dyDescent="0.2">
      <c r="A105" s="11">
        <f t="shared" si="0"/>
        <v>568.63457334817917</v>
      </c>
      <c r="E105" s="11">
        <f t="shared" si="1"/>
        <v>-55.5</v>
      </c>
      <c r="F105" s="11"/>
      <c r="G105" s="11"/>
      <c r="H105" s="11"/>
      <c r="I105" s="11"/>
    </row>
    <row r="106" spans="1:9" x14ac:dyDescent="0.2">
      <c r="F106" s="11"/>
      <c r="G106" s="11"/>
      <c r="H106" s="11"/>
      <c r="I106" s="11"/>
    </row>
    <row r="107" spans="1:9" x14ac:dyDescent="0.2">
      <c r="A107" s="11">
        <v>0</v>
      </c>
      <c r="C107" s="11">
        <v>60</v>
      </c>
      <c r="F107" s="11"/>
      <c r="G107" s="11"/>
      <c r="H107" s="11"/>
      <c r="I107" s="11"/>
    </row>
    <row r="108" spans="1:9" x14ac:dyDescent="0.2">
      <c r="A108" s="11">
        <v>950</v>
      </c>
      <c r="C108" s="11">
        <v>60</v>
      </c>
      <c r="F108" s="11"/>
      <c r="G108" s="11"/>
      <c r="H108" s="11"/>
      <c r="I108" s="11"/>
    </row>
    <row r="109" spans="1:9" x14ac:dyDescent="0.2">
      <c r="F109" s="11"/>
      <c r="G109" s="11"/>
      <c r="H109" s="11"/>
      <c r="I109" s="11"/>
    </row>
    <row r="110" spans="1:9" x14ac:dyDescent="0.2">
      <c r="A110" s="11">
        <v>0</v>
      </c>
      <c r="C110" s="11">
        <v>-60</v>
      </c>
      <c r="F110" s="11"/>
      <c r="G110" s="11"/>
      <c r="H110" s="11"/>
      <c r="I110" s="11"/>
    </row>
    <row r="111" spans="1:9" x14ac:dyDescent="0.2">
      <c r="A111" s="11">
        <v>950</v>
      </c>
      <c r="C111" s="11">
        <v>-60</v>
      </c>
      <c r="F111" s="11"/>
      <c r="G111" s="11"/>
      <c r="H111" s="11"/>
      <c r="I111" s="11"/>
    </row>
    <row r="112" spans="1:9" x14ac:dyDescent="0.2">
      <c r="F112" s="11"/>
      <c r="G112" s="11"/>
      <c r="H112" s="11"/>
      <c r="I112" s="11"/>
    </row>
    <row r="113" spans="6:9" x14ac:dyDescent="0.2">
      <c r="F113" s="11"/>
      <c r="G113" s="11"/>
      <c r="H113" s="11"/>
      <c r="I113" s="11"/>
    </row>
    <row r="114" spans="6:9" x14ac:dyDescent="0.2">
      <c r="F114" s="11"/>
      <c r="G114" s="11"/>
      <c r="H114" s="11"/>
      <c r="I114" s="11"/>
    </row>
    <row r="115" spans="6:9" x14ac:dyDescent="0.2">
      <c r="F115" s="11"/>
      <c r="G115" s="11"/>
      <c r="H115" s="11"/>
      <c r="I115" s="11"/>
    </row>
    <row r="116" spans="6:9" x14ac:dyDescent="0.2">
      <c r="F116" s="11"/>
      <c r="G116" s="11"/>
      <c r="H116" s="11"/>
      <c r="I116" s="11"/>
    </row>
    <row r="117" spans="6:9" x14ac:dyDescent="0.2">
      <c r="F117" s="11"/>
      <c r="G117" s="11"/>
      <c r="H117" s="11"/>
      <c r="I117" s="11"/>
    </row>
    <row r="118" spans="6:9" x14ac:dyDescent="0.2">
      <c r="F118" s="11"/>
      <c r="G118" s="11"/>
      <c r="H118" s="11"/>
      <c r="I118" s="11"/>
    </row>
    <row r="119" spans="6:9" x14ac:dyDescent="0.2">
      <c r="F119" s="11"/>
      <c r="G119" s="11"/>
      <c r="H119" s="11"/>
      <c r="I119" s="11"/>
    </row>
    <row r="120" spans="6:9" x14ac:dyDescent="0.2">
      <c r="F120" s="11"/>
      <c r="G120" s="11"/>
      <c r="H120" s="11"/>
      <c r="I120" s="11"/>
    </row>
    <row r="121" spans="6:9" x14ac:dyDescent="0.2">
      <c r="F121" s="11"/>
      <c r="G121" s="11"/>
      <c r="H121" s="11"/>
      <c r="I121" s="11"/>
    </row>
    <row r="122" spans="6:9" x14ac:dyDescent="0.2">
      <c r="F122" s="11"/>
      <c r="G122" s="11"/>
      <c r="H122" s="11"/>
      <c r="I122" s="11"/>
    </row>
    <row r="123" spans="6:9" x14ac:dyDescent="0.2">
      <c r="F123" s="11"/>
      <c r="G123" s="11"/>
      <c r="H123" s="11"/>
      <c r="I123" s="11"/>
    </row>
    <row r="124" spans="6:9" x14ac:dyDescent="0.2">
      <c r="F124" s="11"/>
      <c r="G124" s="11"/>
      <c r="H124" s="11"/>
      <c r="I124" s="11"/>
    </row>
    <row r="125" spans="6:9" x14ac:dyDescent="0.2">
      <c r="F125" s="11"/>
      <c r="G125" s="11"/>
      <c r="H125" s="11"/>
      <c r="I125" s="11"/>
    </row>
    <row r="126" spans="6:9" x14ac:dyDescent="0.2">
      <c r="F126" s="11"/>
      <c r="G126" s="11"/>
      <c r="H126" s="11"/>
      <c r="I126" s="11"/>
    </row>
    <row r="127" spans="6:9" x14ac:dyDescent="0.2">
      <c r="F127" s="11"/>
      <c r="G127" s="11"/>
      <c r="H127" s="11"/>
      <c r="I127" s="11"/>
    </row>
    <row r="128" spans="6:9" x14ac:dyDescent="0.2">
      <c r="F128" s="11"/>
      <c r="G128" s="11"/>
      <c r="H128" s="11"/>
      <c r="I128" s="11"/>
    </row>
    <row r="129" spans="6:9" x14ac:dyDescent="0.2">
      <c r="F129" s="11"/>
      <c r="G129" s="11"/>
      <c r="H129" s="11"/>
      <c r="I129" s="11"/>
    </row>
    <row r="130" spans="6:9" x14ac:dyDescent="0.2">
      <c r="F130" s="11"/>
      <c r="G130" s="11"/>
      <c r="H130" s="11"/>
      <c r="I130" s="11"/>
    </row>
    <row r="131" spans="6:9" x14ac:dyDescent="0.2">
      <c r="F131" s="11"/>
      <c r="G131" s="11"/>
      <c r="H131" s="11"/>
      <c r="I131" s="11"/>
    </row>
    <row r="132" spans="6:9" x14ac:dyDescent="0.2">
      <c r="F132" s="11"/>
      <c r="G132" s="11"/>
      <c r="H132" s="11"/>
      <c r="I132" s="11"/>
    </row>
    <row r="133" spans="6:9" x14ac:dyDescent="0.2">
      <c r="F133" s="11"/>
      <c r="G133" s="11"/>
      <c r="H133" s="11"/>
      <c r="I133" s="11"/>
    </row>
    <row r="134" spans="6:9" x14ac:dyDescent="0.2">
      <c r="F134" s="11"/>
      <c r="G134" s="11"/>
      <c r="H134" s="11"/>
      <c r="I134" s="11"/>
    </row>
    <row r="135" spans="6:9" x14ac:dyDescent="0.2">
      <c r="F135" s="11"/>
      <c r="G135" s="11"/>
      <c r="H135" s="11"/>
      <c r="I135" s="11"/>
    </row>
    <row r="136" spans="6:9" x14ac:dyDescent="0.2">
      <c r="F136" s="11"/>
      <c r="G136" s="11"/>
      <c r="H136" s="11"/>
      <c r="I136" s="11"/>
    </row>
    <row r="137" spans="6:9" x14ac:dyDescent="0.2">
      <c r="F137" s="11"/>
      <c r="G137" s="11"/>
      <c r="H137" s="11"/>
      <c r="I137" s="11"/>
    </row>
    <row r="138" spans="6:9" x14ac:dyDescent="0.2">
      <c r="F138" s="11"/>
      <c r="G138" s="11"/>
      <c r="H138" s="11"/>
      <c r="I138" s="11"/>
    </row>
    <row r="139" spans="6:9" x14ac:dyDescent="0.2">
      <c r="F139" s="11"/>
      <c r="G139" s="11"/>
      <c r="H139" s="11"/>
      <c r="I139" s="11"/>
    </row>
    <row r="140" spans="6:9" x14ac:dyDescent="0.2">
      <c r="F140" s="11"/>
      <c r="G140" s="11"/>
      <c r="H140" s="11"/>
      <c r="I140" s="11"/>
    </row>
    <row r="141" spans="6:9" x14ac:dyDescent="0.2">
      <c r="F141" s="11"/>
      <c r="G141" s="11"/>
      <c r="H141" s="11"/>
      <c r="I141" s="11"/>
    </row>
    <row r="142" spans="6:9" x14ac:dyDescent="0.2">
      <c r="F142" s="11"/>
      <c r="G142" s="11"/>
      <c r="H142" s="11"/>
      <c r="I142" s="11"/>
    </row>
    <row r="143" spans="6:9" x14ac:dyDescent="0.2">
      <c r="F143" s="11"/>
      <c r="G143" s="11"/>
      <c r="H143" s="11"/>
      <c r="I143" s="11"/>
    </row>
    <row r="144" spans="6:9" x14ac:dyDescent="0.2">
      <c r="F144" s="11"/>
      <c r="G144" s="11"/>
      <c r="H144" s="11"/>
      <c r="I144" s="11"/>
    </row>
    <row r="145" spans="6:9" x14ac:dyDescent="0.2">
      <c r="F145" s="11"/>
      <c r="G145" s="11"/>
      <c r="H145" s="11"/>
      <c r="I145" s="11"/>
    </row>
    <row r="146" spans="6:9" x14ac:dyDescent="0.2">
      <c r="F146" s="11"/>
      <c r="G146" s="11"/>
      <c r="H146" s="11"/>
      <c r="I146" s="11"/>
    </row>
    <row r="147" spans="6:9" x14ac:dyDescent="0.2">
      <c r="F147" s="11"/>
      <c r="G147" s="11"/>
      <c r="H147" s="11"/>
      <c r="I147" s="11"/>
    </row>
    <row r="148" spans="6:9" x14ac:dyDescent="0.2">
      <c r="F148" s="11"/>
      <c r="G148" s="11"/>
      <c r="H148" s="11"/>
      <c r="I148" s="11"/>
    </row>
    <row r="149" spans="6:9" x14ac:dyDescent="0.2">
      <c r="F149" s="11"/>
      <c r="G149" s="11"/>
      <c r="H149" s="11"/>
      <c r="I149" s="11"/>
    </row>
    <row r="150" spans="6:9" x14ac:dyDescent="0.2">
      <c r="F150" s="11"/>
      <c r="G150" s="11"/>
      <c r="H150" s="11"/>
      <c r="I150" s="11"/>
    </row>
    <row r="151" spans="6:9" x14ac:dyDescent="0.2">
      <c r="F151" s="11"/>
      <c r="G151" s="11"/>
      <c r="H151" s="11"/>
      <c r="I151" s="11"/>
    </row>
    <row r="152" spans="6:9" x14ac:dyDescent="0.2">
      <c r="F152" s="11"/>
      <c r="G152" s="11"/>
      <c r="H152" s="11"/>
      <c r="I152" s="11"/>
    </row>
    <row r="153" spans="6:9" x14ac:dyDescent="0.2">
      <c r="F153" s="11"/>
      <c r="G153" s="11"/>
      <c r="H153" s="11"/>
      <c r="I153" s="11"/>
    </row>
    <row r="154" spans="6:9" x14ac:dyDescent="0.2">
      <c r="F154" s="11"/>
      <c r="G154" s="11"/>
      <c r="H154" s="11"/>
      <c r="I154" s="11"/>
    </row>
    <row r="155" spans="6:9" x14ac:dyDescent="0.2">
      <c r="F155" s="11"/>
      <c r="G155" s="11"/>
      <c r="H155" s="11"/>
      <c r="I155" s="11"/>
    </row>
    <row r="156" spans="6:9" x14ac:dyDescent="0.2">
      <c r="F156" s="11"/>
      <c r="G156" s="11"/>
      <c r="H156" s="11"/>
      <c r="I156" s="11"/>
    </row>
    <row r="157" spans="6:9" x14ac:dyDescent="0.2">
      <c r="F157" s="11"/>
      <c r="G157" s="11"/>
      <c r="H157" s="11"/>
      <c r="I157" s="11"/>
    </row>
    <row r="158" spans="6:9" x14ac:dyDescent="0.2">
      <c r="F158" s="11"/>
      <c r="G158" s="11"/>
      <c r="H158" s="11"/>
      <c r="I158" s="11"/>
    </row>
    <row r="159" spans="6:9" x14ac:dyDescent="0.2">
      <c r="F159" s="11"/>
      <c r="G159" s="11"/>
      <c r="H159" s="11"/>
      <c r="I159" s="11"/>
    </row>
    <row r="160" spans="6:9" x14ac:dyDescent="0.2">
      <c r="F160" s="11"/>
      <c r="G160" s="11"/>
      <c r="H160" s="11"/>
      <c r="I160" s="11"/>
    </row>
    <row r="161" spans="6:9" x14ac:dyDescent="0.2">
      <c r="F161" s="11"/>
      <c r="G161" s="11"/>
      <c r="H161" s="11"/>
      <c r="I161" s="11"/>
    </row>
    <row r="162" spans="6:9" x14ac:dyDescent="0.2">
      <c r="F162" s="11"/>
      <c r="G162" s="11"/>
      <c r="H162" s="11"/>
      <c r="I162" s="11"/>
    </row>
    <row r="163" spans="6:9" x14ac:dyDescent="0.2">
      <c r="F163" s="11"/>
      <c r="G163" s="11"/>
      <c r="H163" s="11"/>
      <c r="I163" s="11"/>
    </row>
    <row r="164" spans="6:9" x14ac:dyDescent="0.2">
      <c r="F164" s="11"/>
      <c r="G164" s="11"/>
      <c r="H164" s="11"/>
      <c r="I164" s="11"/>
    </row>
    <row r="165" spans="6:9" x14ac:dyDescent="0.2">
      <c r="F165" s="11"/>
      <c r="G165" s="11"/>
      <c r="H165" s="11"/>
      <c r="I165" s="11"/>
    </row>
    <row r="166" spans="6:9" x14ac:dyDescent="0.2">
      <c r="F166" s="11"/>
      <c r="G166" s="11"/>
      <c r="H166" s="11"/>
      <c r="I166" s="11"/>
    </row>
    <row r="167" spans="6:9" x14ac:dyDescent="0.2">
      <c r="F167" s="11"/>
      <c r="G167" s="11"/>
      <c r="H167" s="11"/>
      <c r="I167" s="11"/>
    </row>
    <row r="168" spans="6:9" x14ac:dyDescent="0.2">
      <c r="F168" s="11"/>
      <c r="G168" s="11"/>
      <c r="H168" s="11"/>
      <c r="I168" s="11"/>
    </row>
    <row r="169" spans="6:9" x14ac:dyDescent="0.2">
      <c r="F169" s="11"/>
      <c r="G169" s="11"/>
      <c r="H169" s="11"/>
      <c r="I169" s="11"/>
    </row>
    <row r="170" spans="6:9" x14ac:dyDescent="0.2">
      <c r="F170" s="11"/>
      <c r="G170" s="11"/>
      <c r="H170" s="11"/>
      <c r="I170" s="11"/>
    </row>
    <row r="171" spans="6:9" x14ac:dyDescent="0.2">
      <c r="F171" s="11"/>
      <c r="G171" s="11"/>
      <c r="H171" s="11"/>
      <c r="I171" s="11"/>
    </row>
    <row r="172" spans="6:9" x14ac:dyDescent="0.2">
      <c r="F172" s="11"/>
      <c r="G172" s="11"/>
      <c r="H172" s="11"/>
      <c r="I172" s="11"/>
    </row>
    <row r="173" spans="6:9" x14ac:dyDescent="0.2">
      <c r="F173" s="11"/>
      <c r="G173" s="11"/>
      <c r="H173" s="11"/>
      <c r="I173" s="11"/>
    </row>
    <row r="174" spans="6:9" x14ac:dyDescent="0.2">
      <c r="F174" s="11"/>
      <c r="G174" s="11"/>
      <c r="H174" s="11"/>
      <c r="I174" s="11"/>
    </row>
    <row r="175" spans="6:9" x14ac:dyDescent="0.2">
      <c r="F175" s="11"/>
      <c r="G175" s="11"/>
      <c r="H175" s="11"/>
      <c r="I175" s="11"/>
    </row>
    <row r="176" spans="6:9" x14ac:dyDescent="0.2">
      <c r="F176" s="11"/>
      <c r="G176" s="11"/>
      <c r="H176" s="11"/>
      <c r="I176" s="11"/>
    </row>
    <row r="177" spans="6:9" x14ac:dyDescent="0.2">
      <c r="F177" s="11"/>
      <c r="G177" s="11"/>
      <c r="H177" s="11"/>
      <c r="I177" s="11"/>
    </row>
    <row r="178" spans="6:9" x14ac:dyDescent="0.2">
      <c r="F178" s="11"/>
      <c r="G178" s="11"/>
      <c r="H178" s="11"/>
      <c r="I178" s="11"/>
    </row>
    <row r="179" spans="6:9" x14ac:dyDescent="0.2">
      <c r="F179" s="11"/>
      <c r="G179" s="11"/>
      <c r="H179" s="11"/>
      <c r="I179" s="11"/>
    </row>
    <row r="180" spans="6:9" x14ac:dyDescent="0.2">
      <c r="F180" s="11"/>
      <c r="G180" s="11"/>
      <c r="H180" s="11"/>
      <c r="I180" s="11"/>
    </row>
    <row r="181" spans="6:9" x14ac:dyDescent="0.2">
      <c r="F181" s="11"/>
      <c r="G181" s="11"/>
      <c r="H181" s="11"/>
      <c r="I181" s="11"/>
    </row>
    <row r="182" spans="6:9" x14ac:dyDescent="0.2">
      <c r="F182" s="11"/>
      <c r="G182" s="11"/>
      <c r="H182" s="11"/>
      <c r="I182" s="11"/>
    </row>
    <row r="183" spans="6:9" x14ac:dyDescent="0.2">
      <c r="F183" s="11"/>
      <c r="G183" s="11"/>
      <c r="H183" s="11"/>
      <c r="I183" s="11"/>
    </row>
    <row r="184" spans="6:9" x14ac:dyDescent="0.2">
      <c r="F184" s="11"/>
      <c r="G184" s="11"/>
      <c r="H184" s="11"/>
      <c r="I184" s="11"/>
    </row>
    <row r="185" spans="6:9" x14ac:dyDescent="0.2">
      <c r="F185" s="11"/>
      <c r="G185" s="11"/>
      <c r="H185" s="11"/>
      <c r="I185" s="11"/>
    </row>
    <row r="186" spans="6:9" x14ac:dyDescent="0.2">
      <c r="F186" s="11"/>
      <c r="G186" s="11"/>
      <c r="H186" s="11"/>
      <c r="I186" s="11"/>
    </row>
    <row r="187" spans="6:9" x14ac:dyDescent="0.2">
      <c r="F187" s="11"/>
      <c r="G187" s="11"/>
      <c r="H187" s="11"/>
      <c r="I187" s="11"/>
    </row>
    <row r="188" spans="6:9" x14ac:dyDescent="0.2">
      <c r="F188" s="11"/>
      <c r="G188" s="11"/>
      <c r="H188" s="11"/>
      <c r="I188" s="11"/>
    </row>
    <row r="189" spans="6:9" x14ac:dyDescent="0.2">
      <c r="F189" s="11"/>
      <c r="G189" s="11"/>
      <c r="H189" s="11"/>
      <c r="I189" s="11"/>
    </row>
    <row r="190" spans="6:9" x14ac:dyDescent="0.2">
      <c r="F190" s="11"/>
      <c r="G190" s="11"/>
      <c r="H190" s="11"/>
      <c r="I190" s="11"/>
    </row>
    <row r="191" spans="6:9" x14ac:dyDescent="0.2">
      <c r="F191" s="11"/>
      <c r="G191" s="11"/>
      <c r="H191" s="11"/>
      <c r="I191" s="11"/>
    </row>
    <row r="192" spans="6:9" x14ac:dyDescent="0.2">
      <c r="F192" s="11"/>
      <c r="G192" s="11"/>
      <c r="H192" s="11"/>
      <c r="I192" s="11"/>
    </row>
    <row r="193" spans="6:9" x14ac:dyDescent="0.2">
      <c r="F193" s="11"/>
      <c r="G193" s="11"/>
      <c r="H193" s="11"/>
      <c r="I193" s="11"/>
    </row>
    <row r="194" spans="6:9" x14ac:dyDescent="0.2">
      <c r="F194" s="11"/>
      <c r="G194" s="11"/>
      <c r="H194" s="11"/>
      <c r="I194" s="11"/>
    </row>
    <row r="195" spans="6:9" x14ac:dyDescent="0.2">
      <c r="F195" s="11"/>
      <c r="G195" s="11"/>
      <c r="H195" s="11"/>
      <c r="I195" s="11"/>
    </row>
    <row r="196" spans="6:9" x14ac:dyDescent="0.2">
      <c r="F196" s="11"/>
      <c r="G196" s="11"/>
      <c r="H196" s="11"/>
      <c r="I196" s="11"/>
    </row>
    <row r="197" spans="6:9" x14ac:dyDescent="0.2">
      <c r="F197" s="11"/>
      <c r="G197" s="11"/>
      <c r="H197" s="11"/>
      <c r="I197" s="11"/>
    </row>
    <row r="198" spans="6:9" x14ac:dyDescent="0.2">
      <c r="F198" s="11"/>
      <c r="G198" s="11"/>
      <c r="H198" s="11"/>
      <c r="I198" s="11"/>
    </row>
    <row r="199" spans="6:9" x14ac:dyDescent="0.2">
      <c r="F199" s="11"/>
      <c r="G199" s="11"/>
      <c r="H199" s="11"/>
      <c r="I199" s="11"/>
    </row>
    <row r="200" spans="6:9" x14ac:dyDescent="0.2">
      <c r="F200" s="11"/>
      <c r="G200" s="11"/>
      <c r="H200" s="11"/>
      <c r="I200" s="11"/>
    </row>
    <row r="201" spans="6:9" x14ac:dyDescent="0.2">
      <c r="F201" s="11"/>
      <c r="G201" s="11"/>
      <c r="H201" s="11"/>
      <c r="I201" s="11"/>
    </row>
    <row r="202" spans="6:9" x14ac:dyDescent="0.2">
      <c r="F202" s="11"/>
      <c r="G202" s="11"/>
      <c r="H202" s="11"/>
      <c r="I202" s="11"/>
    </row>
    <row r="203" spans="6:9" x14ac:dyDescent="0.2">
      <c r="F203" s="11"/>
      <c r="G203" s="11"/>
      <c r="H203" s="11"/>
      <c r="I203" s="11"/>
    </row>
    <row r="204" spans="6:9" x14ac:dyDescent="0.2">
      <c r="F204" s="11"/>
      <c r="G204" s="11"/>
      <c r="H204" s="11"/>
      <c r="I204" s="11"/>
    </row>
    <row r="205" spans="6:9" x14ac:dyDescent="0.2">
      <c r="F205" s="11"/>
      <c r="G205" s="11"/>
      <c r="H205" s="11"/>
      <c r="I205" s="11"/>
    </row>
    <row r="206" spans="6:9" x14ac:dyDescent="0.2">
      <c r="F206" s="11"/>
      <c r="G206" s="11"/>
      <c r="H206" s="11"/>
      <c r="I206" s="11"/>
    </row>
    <row r="207" spans="6:9" x14ac:dyDescent="0.2">
      <c r="F207" s="11"/>
      <c r="G207" s="11"/>
      <c r="H207" s="11"/>
      <c r="I207" s="11"/>
    </row>
    <row r="208" spans="6:9" x14ac:dyDescent="0.2">
      <c r="F208" s="11"/>
      <c r="G208" s="11"/>
      <c r="H208" s="11"/>
      <c r="I208" s="11"/>
    </row>
    <row r="209" spans="6:9" x14ac:dyDescent="0.2">
      <c r="F209" s="11"/>
      <c r="G209" s="11"/>
      <c r="H209" s="11"/>
      <c r="I209" s="11"/>
    </row>
    <row r="210" spans="6:9" x14ac:dyDescent="0.2">
      <c r="F210" s="11"/>
      <c r="G210" s="11"/>
      <c r="H210" s="11"/>
      <c r="I210" s="11"/>
    </row>
    <row r="211" spans="6:9" x14ac:dyDescent="0.2">
      <c r="F211" s="11"/>
      <c r="G211" s="11"/>
      <c r="H211" s="11"/>
      <c r="I211" s="11"/>
    </row>
    <row r="212" spans="6:9" x14ac:dyDescent="0.2">
      <c r="F212" s="11"/>
      <c r="G212" s="11"/>
      <c r="H212" s="11"/>
      <c r="I212" s="11"/>
    </row>
    <row r="213" spans="6:9" x14ac:dyDescent="0.2">
      <c r="F213" s="11"/>
      <c r="G213" s="11"/>
      <c r="H213" s="11"/>
      <c r="I213" s="11"/>
    </row>
    <row r="214" spans="6:9" x14ac:dyDescent="0.2">
      <c r="F214" s="11"/>
      <c r="G214" s="11"/>
      <c r="H214" s="11"/>
      <c r="I214" s="11"/>
    </row>
    <row r="215" spans="6:9" x14ac:dyDescent="0.2">
      <c r="F215" s="11"/>
      <c r="G215" s="11"/>
      <c r="H215" s="11"/>
      <c r="I215" s="11"/>
    </row>
    <row r="216" spans="6:9" x14ac:dyDescent="0.2">
      <c r="F216" s="11"/>
      <c r="G216" s="11"/>
      <c r="H216" s="11"/>
      <c r="I216" s="11"/>
    </row>
    <row r="217" spans="6:9" x14ac:dyDescent="0.2">
      <c r="F217" s="11"/>
      <c r="G217" s="11"/>
      <c r="H217" s="11"/>
      <c r="I217" s="11"/>
    </row>
    <row r="218" spans="6:9" x14ac:dyDescent="0.2">
      <c r="F218" s="11"/>
      <c r="G218" s="11"/>
      <c r="H218" s="11"/>
      <c r="I218" s="11"/>
    </row>
    <row r="219" spans="6:9" x14ac:dyDescent="0.2">
      <c r="F219" s="11"/>
      <c r="G219" s="11"/>
      <c r="H219" s="11"/>
      <c r="I219" s="11"/>
    </row>
  </sheetData>
  <sheetProtection sheet="1" objects="1" scenarios="1" selectLockedCells="1"/>
  <phoneticPr fontId="2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ignoredErrors>
    <ignoredError sqref="A81:A83 A33:A42 B28:B32 C52 A53 D59 A29:A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MainSheet V3.4</vt:lpstr>
      <vt:lpstr>Iteration</vt:lpstr>
      <vt:lpstr>Ballistics</vt:lpstr>
      <vt:lpstr>Picture</vt:lpstr>
    </vt:vector>
  </TitlesOfParts>
  <Company>odysoft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 Odermatt</dc:creator>
  <cp:lastPrinted>2012-09-24T09:24:01Z</cp:lastPrinted>
  <dcterms:created xsi:type="dcterms:W3CDTF">2006-12-23T18:16:43Z</dcterms:created>
  <dcterms:modified xsi:type="dcterms:W3CDTF">2021-01-10T05:38:27Z</dcterms:modified>
</cp:coreProperties>
</file>