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onforsh/switchdrive/Institution/Manuscripts/esblEc_ww_monitoring/"/>
    </mc:Choice>
  </mc:AlternateContent>
  <xr:revisionPtr revIDLastSave="0" documentId="13_ncr:1_{FC4398FF-B1C1-F84F-89F5-E06BBDCC9F42}" xr6:coauthVersionLast="47" xr6:coauthVersionMax="47" xr10:uidLastSave="{00000000-0000-0000-0000-000000000000}"/>
  <bookViews>
    <workbookView xWindow="600" yWindow="760" windowWidth="11640" windowHeight="17440" xr2:uid="{00000000-000D-0000-FFFF-FFFF00000000}"/>
  </bookViews>
  <sheets>
    <sheet name="E_coli_cou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2" l="1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8" i="2"/>
  <c r="Q12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8" i="2"/>
  <c r="P124" i="2"/>
  <c r="P3" i="2"/>
  <c r="P2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4" i="2"/>
  <c r="O155" i="2"/>
  <c r="O156" i="2"/>
  <c r="O15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2" i="2"/>
  <c r="J307" i="2" l="1"/>
  <c r="Q307" i="2" s="1"/>
  <c r="J306" i="2"/>
  <c r="Q306" i="2" s="1"/>
  <c r="J305" i="2"/>
  <c r="Q305" i="2" s="1"/>
  <c r="J304" i="2"/>
  <c r="Q304" i="2" s="1"/>
  <c r="J302" i="2"/>
  <c r="Q302" i="2" s="1"/>
  <c r="I307" i="2"/>
  <c r="P307" i="2" s="1"/>
  <c r="I306" i="2"/>
  <c r="P306" i="2" s="1"/>
  <c r="I305" i="2"/>
  <c r="P305" i="2" s="1"/>
  <c r="I304" i="2"/>
  <c r="P304" i="2" s="1"/>
  <c r="I302" i="2"/>
  <c r="P302" i="2" s="1"/>
  <c r="H307" i="2"/>
  <c r="O307" i="2" s="1"/>
  <c r="H306" i="2"/>
  <c r="O306" i="2" s="1"/>
  <c r="H305" i="2"/>
  <c r="O305" i="2" s="1"/>
  <c r="H304" i="2"/>
  <c r="O304" i="2" s="1"/>
  <c r="H302" i="2"/>
  <c r="O302" i="2" s="1"/>
  <c r="G307" i="2"/>
  <c r="G306" i="2"/>
  <c r="G305" i="2"/>
  <c r="G304" i="2"/>
  <c r="G302" i="2"/>
  <c r="J301" i="2"/>
  <c r="Q301" i="2" s="1"/>
  <c r="J300" i="2"/>
  <c r="Q300" i="2" s="1"/>
  <c r="J299" i="2"/>
  <c r="Q299" i="2" s="1"/>
  <c r="J298" i="2"/>
  <c r="Q298" i="2" s="1"/>
  <c r="J297" i="2"/>
  <c r="Q297" i="2" s="1"/>
  <c r="J296" i="2"/>
  <c r="Q296" i="2" s="1"/>
  <c r="I301" i="2"/>
  <c r="P301" i="2" s="1"/>
  <c r="I300" i="2"/>
  <c r="P300" i="2" s="1"/>
  <c r="I299" i="2"/>
  <c r="P299" i="2" s="1"/>
  <c r="I298" i="2"/>
  <c r="P298" i="2" s="1"/>
  <c r="I297" i="2"/>
  <c r="P297" i="2" s="1"/>
  <c r="I296" i="2"/>
  <c r="P296" i="2" s="1"/>
  <c r="H301" i="2"/>
  <c r="O301" i="2" s="1"/>
  <c r="H300" i="2"/>
  <c r="O300" i="2" s="1"/>
  <c r="H299" i="2"/>
  <c r="O299" i="2" s="1"/>
  <c r="H298" i="2"/>
  <c r="O298" i="2" s="1"/>
  <c r="H296" i="2"/>
  <c r="O296" i="2" s="1"/>
  <c r="G301" i="2"/>
  <c r="G300" i="2"/>
  <c r="G299" i="2"/>
  <c r="G298" i="2"/>
  <c r="G296" i="2"/>
  <c r="J295" i="2"/>
  <c r="Q295" i="2" s="1"/>
  <c r="J294" i="2"/>
  <c r="Q294" i="2" s="1"/>
  <c r="J293" i="2"/>
  <c r="Q293" i="2" s="1"/>
  <c r="J292" i="2"/>
  <c r="Q292" i="2" s="1"/>
  <c r="J291" i="2"/>
  <c r="Q291" i="2" s="1"/>
  <c r="J290" i="2"/>
  <c r="Q290" i="2" s="1"/>
  <c r="I295" i="2"/>
  <c r="P295" i="2" s="1"/>
  <c r="I294" i="2"/>
  <c r="P294" i="2" s="1"/>
  <c r="I293" i="2"/>
  <c r="P293" i="2" s="1"/>
  <c r="I292" i="2"/>
  <c r="P292" i="2" s="1"/>
  <c r="I291" i="2"/>
  <c r="P291" i="2" s="1"/>
  <c r="I290" i="2"/>
  <c r="P290" i="2" s="1"/>
  <c r="H295" i="2"/>
  <c r="O295" i="2" s="1"/>
  <c r="H294" i="2"/>
  <c r="O294" i="2" s="1"/>
  <c r="H293" i="2"/>
  <c r="O293" i="2" s="1"/>
  <c r="H292" i="2"/>
  <c r="O292" i="2" s="1"/>
  <c r="H290" i="2"/>
  <c r="O290" i="2" s="1"/>
  <c r="G295" i="2"/>
  <c r="G294" i="2"/>
  <c r="G293" i="2"/>
  <c r="G292" i="2"/>
  <c r="G290" i="2"/>
  <c r="N290" i="2" l="1"/>
  <c r="N302" i="2"/>
  <c r="N304" i="2"/>
  <c r="N305" i="2"/>
  <c r="N293" i="2"/>
  <c r="N306" i="2"/>
  <c r="N298" i="2"/>
  <c r="N307" i="2"/>
  <c r="N292" i="2"/>
  <c r="N296" i="2"/>
  <c r="N295" i="2"/>
  <c r="N300" i="2"/>
  <c r="N294" i="2"/>
  <c r="N299" i="2"/>
  <c r="N301" i="2"/>
  <c r="L306" i="2"/>
  <c r="K307" i="2"/>
  <c r="K306" i="2"/>
  <c r="L305" i="2"/>
  <c r="L304" i="2"/>
  <c r="K304" i="2"/>
  <c r="L307" i="2"/>
  <c r="L302" i="2"/>
  <c r="K302" i="2"/>
  <c r="K305" i="2"/>
  <c r="K301" i="2"/>
  <c r="K300" i="2"/>
  <c r="L296" i="2"/>
  <c r="K298" i="2"/>
  <c r="L301" i="2"/>
  <c r="K293" i="2"/>
  <c r="K294" i="2"/>
  <c r="K296" i="2"/>
  <c r="L300" i="2"/>
  <c r="L299" i="2"/>
  <c r="L290" i="2"/>
  <c r="K299" i="2"/>
  <c r="L295" i="2"/>
  <c r="L292" i="2"/>
  <c r="K295" i="2"/>
  <c r="L298" i="2"/>
  <c r="L294" i="2"/>
  <c r="K292" i="2"/>
  <c r="K290" i="2"/>
  <c r="L293" i="2"/>
  <c r="J289" i="2"/>
  <c r="Q289" i="2" s="1"/>
  <c r="J288" i="2"/>
  <c r="Q288" i="2" s="1"/>
  <c r="J287" i="2"/>
  <c r="Q287" i="2" s="1"/>
  <c r="J285" i="2"/>
  <c r="Q285" i="2" s="1"/>
  <c r="J284" i="2"/>
  <c r="Q284" i="2" s="1"/>
  <c r="I289" i="2"/>
  <c r="P289" i="2" s="1"/>
  <c r="I288" i="2"/>
  <c r="P288" i="2" s="1"/>
  <c r="I287" i="2"/>
  <c r="P287" i="2" s="1"/>
  <c r="I285" i="2"/>
  <c r="P285" i="2" s="1"/>
  <c r="I284" i="2"/>
  <c r="P284" i="2" s="1"/>
  <c r="H289" i="2"/>
  <c r="O289" i="2" s="1"/>
  <c r="H288" i="2"/>
  <c r="O288" i="2" s="1"/>
  <c r="H287" i="2"/>
  <c r="O287" i="2" s="1"/>
  <c r="H286" i="2"/>
  <c r="O286" i="2" s="1"/>
  <c r="H285" i="2"/>
  <c r="O285" i="2" s="1"/>
  <c r="H284" i="2"/>
  <c r="O284" i="2" s="1"/>
  <c r="G289" i="2"/>
  <c r="G288" i="2"/>
  <c r="G287" i="2"/>
  <c r="G286" i="2"/>
  <c r="G285" i="2"/>
  <c r="G284" i="2"/>
  <c r="H233" i="2"/>
  <c r="O233" i="2" s="1"/>
  <c r="J283" i="2"/>
  <c r="Q283" i="2" s="1"/>
  <c r="J282" i="2"/>
  <c r="Q282" i="2" s="1"/>
  <c r="J281" i="2"/>
  <c r="Q281" i="2" s="1"/>
  <c r="J280" i="2"/>
  <c r="Q280" i="2" s="1"/>
  <c r="J279" i="2"/>
  <c r="Q279" i="2" s="1"/>
  <c r="J278" i="2"/>
  <c r="Q278" i="2" s="1"/>
  <c r="I283" i="2"/>
  <c r="P283" i="2" s="1"/>
  <c r="I282" i="2"/>
  <c r="P282" i="2" s="1"/>
  <c r="I281" i="2"/>
  <c r="P281" i="2" s="1"/>
  <c r="I280" i="2"/>
  <c r="P280" i="2" s="1"/>
  <c r="I279" i="2"/>
  <c r="P279" i="2" s="1"/>
  <c r="I278" i="2"/>
  <c r="P278" i="2" s="1"/>
  <c r="H283" i="2"/>
  <c r="O283" i="2" s="1"/>
  <c r="H282" i="2"/>
  <c r="O282" i="2" s="1"/>
  <c r="H281" i="2"/>
  <c r="O281" i="2" s="1"/>
  <c r="H280" i="2"/>
  <c r="O280" i="2" s="1"/>
  <c r="H279" i="2"/>
  <c r="O279" i="2" s="1"/>
  <c r="H278" i="2"/>
  <c r="O278" i="2" s="1"/>
  <c r="G283" i="2"/>
  <c r="G282" i="2"/>
  <c r="G281" i="2"/>
  <c r="G280" i="2"/>
  <c r="G279" i="2"/>
  <c r="G278" i="2"/>
  <c r="J277" i="2"/>
  <c r="Q277" i="2" s="1"/>
  <c r="J276" i="2"/>
  <c r="Q276" i="2" s="1"/>
  <c r="J275" i="2"/>
  <c r="Q275" i="2" s="1"/>
  <c r="J274" i="2"/>
  <c r="Q274" i="2" s="1"/>
  <c r="J273" i="2"/>
  <c r="Q273" i="2" s="1"/>
  <c r="J272" i="2"/>
  <c r="Q272" i="2" s="1"/>
  <c r="I277" i="2"/>
  <c r="P277" i="2" s="1"/>
  <c r="I276" i="2"/>
  <c r="P276" i="2" s="1"/>
  <c r="I275" i="2"/>
  <c r="P275" i="2" s="1"/>
  <c r="I274" i="2"/>
  <c r="P274" i="2" s="1"/>
  <c r="I273" i="2"/>
  <c r="P273" i="2" s="1"/>
  <c r="I272" i="2"/>
  <c r="P272" i="2" s="1"/>
  <c r="H277" i="2"/>
  <c r="O277" i="2" s="1"/>
  <c r="H276" i="2"/>
  <c r="O276" i="2" s="1"/>
  <c r="H275" i="2"/>
  <c r="O275" i="2" s="1"/>
  <c r="H274" i="2"/>
  <c r="O274" i="2" s="1"/>
  <c r="H273" i="2"/>
  <c r="O273" i="2" s="1"/>
  <c r="H272" i="2"/>
  <c r="O272" i="2" s="1"/>
  <c r="G277" i="2"/>
  <c r="G276" i="2"/>
  <c r="G275" i="2"/>
  <c r="G274" i="2"/>
  <c r="G273" i="2"/>
  <c r="G272" i="2"/>
  <c r="J271" i="2"/>
  <c r="Q271" i="2" s="1"/>
  <c r="J270" i="2"/>
  <c r="Q270" i="2" s="1"/>
  <c r="J269" i="2"/>
  <c r="Q269" i="2" s="1"/>
  <c r="J268" i="2"/>
  <c r="Q268" i="2" s="1"/>
  <c r="J267" i="2"/>
  <c r="Q267" i="2" s="1"/>
  <c r="J266" i="2"/>
  <c r="Q266" i="2" s="1"/>
  <c r="I271" i="2"/>
  <c r="P271" i="2" s="1"/>
  <c r="I270" i="2"/>
  <c r="P270" i="2" s="1"/>
  <c r="I269" i="2"/>
  <c r="P269" i="2" s="1"/>
  <c r="I268" i="2"/>
  <c r="P268" i="2" s="1"/>
  <c r="I267" i="2"/>
  <c r="P267" i="2" s="1"/>
  <c r="I266" i="2"/>
  <c r="P266" i="2" s="1"/>
  <c r="H271" i="2"/>
  <c r="O271" i="2" s="1"/>
  <c r="H270" i="2"/>
  <c r="O270" i="2" s="1"/>
  <c r="H269" i="2"/>
  <c r="O269" i="2" s="1"/>
  <c r="H268" i="2"/>
  <c r="O268" i="2" s="1"/>
  <c r="H267" i="2"/>
  <c r="O267" i="2" s="1"/>
  <c r="H266" i="2"/>
  <c r="O266" i="2" s="1"/>
  <c r="G271" i="2"/>
  <c r="G270" i="2"/>
  <c r="G269" i="2"/>
  <c r="G268" i="2"/>
  <c r="G267" i="2"/>
  <c r="G266" i="2"/>
  <c r="J265" i="2"/>
  <c r="Q265" i="2" s="1"/>
  <c r="J264" i="2"/>
  <c r="Q264" i="2" s="1"/>
  <c r="J263" i="2"/>
  <c r="Q263" i="2" s="1"/>
  <c r="J262" i="2"/>
  <c r="Q262" i="2" s="1"/>
  <c r="J261" i="2"/>
  <c r="Q261" i="2" s="1"/>
  <c r="J260" i="2"/>
  <c r="Q260" i="2" s="1"/>
  <c r="I265" i="2"/>
  <c r="P265" i="2" s="1"/>
  <c r="I264" i="2"/>
  <c r="P264" i="2" s="1"/>
  <c r="I263" i="2"/>
  <c r="P263" i="2" s="1"/>
  <c r="I262" i="2"/>
  <c r="P262" i="2" s="1"/>
  <c r="I261" i="2"/>
  <c r="P261" i="2" s="1"/>
  <c r="I260" i="2"/>
  <c r="P260" i="2" s="1"/>
  <c r="H265" i="2"/>
  <c r="O265" i="2" s="1"/>
  <c r="H264" i="2"/>
  <c r="O264" i="2" s="1"/>
  <c r="H263" i="2"/>
  <c r="O263" i="2" s="1"/>
  <c r="H262" i="2"/>
  <c r="O262" i="2" s="1"/>
  <c r="H261" i="2"/>
  <c r="O261" i="2" s="1"/>
  <c r="H260" i="2"/>
  <c r="O260" i="2" s="1"/>
  <c r="G265" i="2"/>
  <c r="G264" i="2"/>
  <c r="G263" i="2"/>
  <c r="G262" i="2"/>
  <c r="G261" i="2"/>
  <c r="G260" i="2"/>
  <c r="J259" i="2"/>
  <c r="Q259" i="2" s="1"/>
  <c r="J258" i="2"/>
  <c r="Q258" i="2" s="1"/>
  <c r="J257" i="2"/>
  <c r="Q257" i="2" s="1"/>
  <c r="J256" i="2"/>
  <c r="Q256" i="2" s="1"/>
  <c r="J254" i="2"/>
  <c r="Q254" i="2" s="1"/>
  <c r="I259" i="2"/>
  <c r="P259" i="2" s="1"/>
  <c r="I258" i="2"/>
  <c r="P258" i="2" s="1"/>
  <c r="I257" i="2"/>
  <c r="P257" i="2" s="1"/>
  <c r="I256" i="2"/>
  <c r="P256" i="2" s="1"/>
  <c r="I254" i="2"/>
  <c r="P254" i="2" s="1"/>
  <c r="H259" i="2"/>
  <c r="O259" i="2" s="1"/>
  <c r="H258" i="2"/>
  <c r="O258" i="2" s="1"/>
  <c r="H257" i="2"/>
  <c r="O257" i="2" s="1"/>
  <c r="H256" i="2"/>
  <c r="O256" i="2" s="1"/>
  <c r="H254" i="2"/>
  <c r="O254" i="2" s="1"/>
  <c r="G259" i="2"/>
  <c r="G258" i="2"/>
  <c r="G257" i="2"/>
  <c r="G256" i="2"/>
  <c r="G254" i="2"/>
  <c r="J253" i="2"/>
  <c r="Q253" i="2" s="1"/>
  <c r="J252" i="2"/>
  <c r="Q252" i="2" s="1"/>
  <c r="J251" i="2"/>
  <c r="Q251" i="2" s="1"/>
  <c r="J250" i="2"/>
  <c r="Q250" i="2" s="1"/>
  <c r="J249" i="2"/>
  <c r="Q249" i="2" s="1"/>
  <c r="J248" i="2"/>
  <c r="Q248" i="2" s="1"/>
  <c r="I253" i="2"/>
  <c r="P253" i="2" s="1"/>
  <c r="I252" i="2"/>
  <c r="P252" i="2" s="1"/>
  <c r="I251" i="2"/>
  <c r="P251" i="2" s="1"/>
  <c r="I250" i="2"/>
  <c r="P250" i="2" s="1"/>
  <c r="I249" i="2"/>
  <c r="P249" i="2" s="1"/>
  <c r="I248" i="2"/>
  <c r="P248" i="2" s="1"/>
  <c r="H253" i="2"/>
  <c r="O253" i="2" s="1"/>
  <c r="H252" i="2"/>
  <c r="O252" i="2" s="1"/>
  <c r="H251" i="2"/>
  <c r="O251" i="2" s="1"/>
  <c r="H250" i="2"/>
  <c r="O250" i="2" s="1"/>
  <c r="H249" i="2"/>
  <c r="O249" i="2" s="1"/>
  <c r="H248" i="2"/>
  <c r="O248" i="2" s="1"/>
  <c r="G253" i="2"/>
  <c r="G252" i="2"/>
  <c r="G251" i="2"/>
  <c r="G250" i="2"/>
  <c r="G249" i="2"/>
  <c r="G248" i="2"/>
  <c r="J247" i="2"/>
  <c r="Q247" i="2" s="1"/>
  <c r="J246" i="2"/>
  <c r="Q246" i="2" s="1"/>
  <c r="J245" i="2"/>
  <c r="Q245" i="2" s="1"/>
  <c r="J244" i="2"/>
  <c r="Q244" i="2" s="1"/>
  <c r="J243" i="2"/>
  <c r="Q243" i="2" s="1"/>
  <c r="J242" i="2"/>
  <c r="Q242" i="2" s="1"/>
  <c r="I247" i="2"/>
  <c r="P247" i="2" s="1"/>
  <c r="I246" i="2"/>
  <c r="P246" i="2" s="1"/>
  <c r="I245" i="2"/>
  <c r="P245" i="2" s="1"/>
  <c r="I244" i="2"/>
  <c r="P244" i="2" s="1"/>
  <c r="I243" i="2"/>
  <c r="P243" i="2" s="1"/>
  <c r="I242" i="2"/>
  <c r="P242" i="2" s="1"/>
  <c r="H247" i="2"/>
  <c r="O247" i="2" s="1"/>
  <c r="H246" i="2"/>
  <c r="O246" i="2" s="1"/>
  <c r="H245" i="2"/>
  <c r="O245" i="2" s="1"/>
  <c r="H244" i="2"/>
  <c r="O244" i="2" s="1"/>
  <c r="H243" i="2"/>
  <c r="O243" i="2" s="1"/>
  <c r="H242" i="2"/>
  <c r="O242" i="2" s="1"/>
  <c r="G247" i="2"/>
  <c r="G246" i="2"/>
  <c r="G245" i="2"/>
  <c r="G244" i="2"/>
  <c r="G243" i="2"/>
  <c r="G242" i="2"/>
  <c r="J241" i="2"/>
  <c r="Q241" i="2" s="1"/>
  <c r="J240" i="2"/>
  <c r="Q240" i="2" s="1"/>
  <c r="J239" i="2"/>
  <c r="Q239" i="2" s="1"/>
  <c r="J238" i="2"/>
  <c r="Q238" i="2" s="1"/>
  <c r="J237" i="2"/>
  <c r="Q237" i="2" s="1"/>
  <c r="I241" i="2"/>
  <c r="P241" i="2" s="1"/>
  <c r="I240" i="2"/>
  <c r="P240" i="2" s="1"/>
  <c r="I239" i="2"/>
  <c r="P239" i="2" s="1"/>
  <c r="I238" i="2"/>
  <c r="P238" i="2" s="1"/>
  <c r="I237" i="2"/>
  <c r="P237" i="2" s="1"/>
  <c r="I236" i="2"/>
  <c r="P236" i="2" s="1"/>
  <c r="H241" i="2"/>
  <c r="O241" i="2" s="1"/>
  <c r="H240" i="2"/>
  <c r="O240" i="2" s="1"/>
  <c r="H239" i="2"/>
  <c r="O239" i="2" s="1"/>
  <c r="H237" i="2"/>
  <c r="O237" i="2" s="1"/>
  <c r="H236" i="2"/>
  <c r="O236" i="2" s="1"/>
  <c r="G241" i="2"/>
  <c r="G240" i="2"/>
  <c r="G239" i="2"/>
  <c r="G238" i="2"/>
  <c r="G237" i="2"/>
  <c r="G236" i="2"/>
  <c r="J235" i="2"/>
  <c r="Q235" i="2" s="1"/>
  <c r="J234" i="2"/>
  <c r="Q234" i="2" s="1"/>
  <c r="J233" i="2"/>
  <c r="Q233" i="2" s="1"/>
  <c r="J232" i="2"/>
  <c r="Q232" i="2" s="1"/>
  <c r="J231" i="2"/>
  <c r="Q231" i="2" s="1"/>
  <c r="J230" i="2"/>
  <c r="Q230" i="2" s="1"/>
  <c r="I235" i="2"/>
  <c r="P235" i="2" s="1"/>
  <c r="I234" i="2"/>
  <c r="P234" i="2" s="1"/>
  <c r="I233" i="2"/>
  <c r="P233" i="2" s="1"/>
  <c r="I232" i="2"/>
  <c r="P232" i="2" s="1"/>
  <c r="I231" i="2"/>
  <c r="P231" i="2" s="1"/>
  <c r="I230" i="2"/>
  <c r="P230" i="2" s="1"/>
  <c r="H235" i="2"/>
  <c r="O235" i="2" s="1"/>
  <c r="H234" i="2"/>
  <c r="O234" i="2" s="1"/>
  <c r="H232" i="2"/>
  <c r="O232" i="2" s="1"/>
  <c r="H231" i="2"/>
  <c r="O231" i="2" s="1"/>
  <c r="H230" i="2"/>
  <c r="O230" i="2" s="1"/>
  <c r="G235" i="2"/>
  <c r="G234" i="2"/>
  <c r="G233" i="2"/>
  <c r="G232" i="2"/>
  <c r="G231" i="2"/>
  <c r="G230" i="2"/>
  <c r="N251" i="2" l="1"/>
  <c r="N252" i="2"/>
  <c r="N254" i="2"/>
  <c r="N260" i="2"/>
  <c r="N274" i="2"/>
  <c r="N287" i="2"/>
  <c r="N272" i="2"/>
  <c r="N271" i="2"/>
  <c r="N286" i="2"/>
  <c r="N256" i="2"/>
  <c r="N285" i="2"/>
  <c r="N233" i="2"/>
  <c r="N236" i="2"/>
  <c r="N234" i="2"/>
  <c r="N237" i="2"/>
  <c r="N275" i="2"/>
  <c r="N242" i="2"/>
  <c r="N257" i="2"/>
  <c r="N262" i="2"/>
  <c r="N276" i="2"/>
  <c r="N278" i="2"/>
  <c r="N289" i="2"/>
  <c r="N250" i="2"/>
  <c r="N270" i="2"/>
  <c r="N253" i="2"/>
  <c r="N261" i="2"/>
  <c r="N258" i="2"/>
  <c r="N263" i="2"/>
  <c r="N277" i="2"/>
  <c r="N279" i="2"/>
  <c r="N238" i="2"/>
  <c r="N259" i="2"/>
  <c r="N264" i="2"/>
  <c r="N266" i="2"/>
  <c r="N280" i="2"/>
  <c r="N288" i="2"/>
  <c r="N240" i="2"/>
  <c r="N265" i="2"/>
  <c r="N267" i="2"/>
  <c r="N281" i="2"/>
  <c r="N232" i="2"/>
  <c r="N273" i="2"/>
  <c r="N235" i="2"/>
  <c r="N243" i="2"/>
  <c r="N244" i="2"/>
  <c r="N241" i="2"/>
  <c r="N246" i="2"/>
  <c r="N282" i="2"/>
  <c r="N231" i="2"/>
  <c r="N239" i="2"/>
  <c r="N245" i="2"/>
  <c r="N248" i="2"/>
  <c r="N268" i="2"/>
  <c r="N230" i="2"/>
  <c r="N247" i="2"/>
  <c r="N249" i="2"/>
  <c r="N269" i="2"/>
  <c r="N283" i="2"/>
  <c r="N284" i="2"/>
  <c r="L251" i="2"/>
  <c r="L252" i="2"/>
  <c r="K241" i="2"/>
  <c r="K275" i="2"/>
  <c r="L267" i="2"/>
  <c r="L268" i="2"/>
  <c r="K230" i="2"/>
  <c r="L274" i="2"/>
  <c r="L271" i="2"/>
  <c r="L258" i="2"/>
  <c r="L249" i="2"/>
  <c r="L250" i="2"/>
  <c r="K279" i="2"/>
  <c r="K260" i="2"/>
  <c r="L270" i="2"/>
  <c r="L283" i="2"/>
  <c r="K274" i="2"/>
  <c r="L253" i="2"/>
  <c r="K259" i="2"/>
  <c r="L269" i="2"/>
  <c r="K277" i="2"/>
  <c r="K254" i="2"/>
  <c r="K273" i="2"/>
  <c r="L279" i="2"/>
  <c r="L240" i="2"/>
  <c r="K242" i="2"/>
  <c r="K264" i="2"/>
  <c r="L276" i="2"/>
  <c r="L272" i="2"/>
  <c r="K272" i="2"/>
  <c r="L280" i="2"/>
  <c r="K281" i="2"/>
  <c r="L233" i="2"/>
  <c r="K257" i="2"/>
  <c r="K276" i="2"/>
  <c r="L281" i="2"/>
  <c r="K256" i="2"/>
  <c r="L231" i="2"/>
  <c r="K262" i="2"/>
  <c r="K238" i="2"/>
  <c r="L257" i="2"/>
  <c r="L277" i="2"/>
  <c r="K247" i="2"/>
  <c r="K248" i="2"/>
  <c r="K265" i="2"/>
  <c r="L230" i="2"/>
  <c r="K237" i="2"/>
  <c r="L259" i="2"/>
  <c r="K250" i="2"/>
  <c r="L261" i="2"/>
  <c r="K270" i="2"/>
  <c r="K280" i="2"/>
  <c r="L278" i="2"/>
  <c r="L254" i="2"/>
  <c r="L273" i="2"/>
  <c r="L232" i="2"/>
  <c r="K252" i="2"/>
  <c r="K258" i="2"/>
  <c r="K261" i="2"/>
  <c r="L266" i="2"/>
  <c r="K282" i="2"/>
  <c r="K278" i="2"/>
  <c r="L275" i="2"/>
  <c r="L248" i="2"/>
  <c r="L265" i="2"/>
  <c r="K263" i="2"/>
  <c r="K266" i="2"/>
  <c r="L282" i="2"/>
  <c r="L239" i="2"/>
  <c r="K239" i="2"/>
  <c r="L264" i="2"/>
  <c r="L263" i="2"/>
  <c r="L262" i="2"/>
  <c r="L260" i="2"/>
  <c r="K271" i="2"/>
  <c r="K269" i="2"/>
  <c r="K268" i="2"/>
  <c r="K267" i="2"/>
  <c r="K233" i="2"/>
  <c r="L241" i="2"/>
  <c r="L256" i="2"/>
  <c r="L289" i="2"/>
  <c r="L288" i="2"/>
  <c r="L287" i="2"/>
  <c r="L284" i="2"/>
  <c r="L235" i="2"/>
  <c r="K289" i="2"/>
  <c r="K288" i="2"/>
  <c r="K287" i="2"/>
  <c r="K284" i="2"/>
  <c r="K235" i="2"/>
  <c r="K236" i="2"/>
  <c r="K244" i="2"/>
  <c r="K253" i="2"/>
  <c r="K251" i="2"/>
  <c r="K249" i="2"/>
  <c r="K283" i="2"/>
  <c r="L285" i="2"/>
  <c r="K285" i="2"/>
  <c r="K234" i="2"/>
  <c r="K231" i="2"/>
  <c r="K240" i="2"/>
  <c r="L237" i="2"/>
  <c r="L247" i="2"/>
  <c r="L246" i="2"/>
  <c r="L245" i="2"/>
  <c r="L244" i="2"/>
  <c r="L243" i="2"/>
  <c r="L242" i="2"/>
  <c r="L234" i="2"/>
  <c r="K232" i="2"/>
  <c r="K246" i="2"/>
  <c r="K245" i="2"/>
  <c r="K243" i="2"/>
  <c r="J229" i="2"/>
  <c r="Q229" i="2" s="1"/>
  <c r="J228" i="2"/>
  <c r="Q228" i="2" s="1"/>
  <c r="J227" i="2"/>
  <c r="Q227" i="2" s="1"/>
  <c r="J226" i="2"/>
  <c r="Q226" i="2" s="1"/>
  <c r="J225" i="2"/>
  <c r="Q225" i="2" s="1"/>
  <c r="J224" i="2"/>
  <c r="Q224" i="2" s="1"/>
  <c r="I229" i="2"/>
  <c r="P229" i="2" s="1"/>
  <c r="I228" i="2"/>
  <c r="P228" i="2" s="1"/>
  <c r="I227" i="2"/>
  <c r="P227" i="2" s="1"/>
  <c r="I226" i="2"/>
  <c r="P226" i="2" s="1"/>
  <c r="I225" i="2"/>
  <c r="P225" i="2" s="1"/>
  <c r="I224" i="2"/>
  <c r="P224" i="2" s="1"/>
  <c r="H229" i="2"/>
  <c r="O229" i="2" s="1"/>
  <c r="H228" i="2"/>
  <c r="O228" i="2" s="1"/>
  <c r="H227" i="2"/>
  <c r="O227" i="2" s="1"/>
  <c r="H226" i="2"/>
  <c r="O226" i="2" s="1"/>
  <c r="H225" i="2"/>
  <c r="O225" i="2" s="1"/>
  <c r="H224" i="2"/>
  <c r="O224" i="2" s="1"/>
  <c r="G229" i="2"/>
  <c r="G228" i="2"/>
  <c r="G227" i="2"/>
  <c r="G226" i="2"/>
  <c r="G225" i="2"/>
  <c r="G224" i="2"/>
  <c r="J223" i="2"/>
  <c r="Q223" i="2" s="1"/>
  <c r="J222" i="2"/>
  <c r="Q222" i="2" s="1"/>
  <c r="J221" i="2"/>
  <c r="Q221" i="2" s="1"/>
  <c r="J220" i="2"/>
  <c r="Q220" i="2" s="1"/>
  <c r="J219" i="2"/>
  <c r="Q219" i="2" s="1"/>
  <c r="J218" i="2"/>
  <c r="Q218" i="2" s="1"/>
  <c r="J217" i="2"/>
  <c r="Q217" i="2" s="1"/>
  <c r="J216" i="2"/>
  <c r="Q216" i="2" s="1"/>
  <c r="J215" i="2"/>
  <c r="Q215" i="2" s="1"/>
  <c r="J214" i="2"/>
  <c r="Q214" i="2" s="1"/>
  <c r="J213" i="2"/>
  <c r="Q213" i="2" s="1"/>
  <c r="J212" i="2"/>
  <c r="Q212" i="2" s="1"/>
  <c r="J211" i="2"/>
  <c r="Q211" i="2" s="1"/>
  <c r="J210" i="2"/>
  <c r="Q210" i="2" s="1"/>
  <c r="J209" i="2"/>
  <c r="Q209" i="2" s="1"/>
  <c r="J208" i="2"/>
  <c r="Q208" i="2" s="1"/>
  <c r="J207" i="2"/>
  <c r="Q207" i="2" s="1"/>
  <c r="J206" i="2"/>
  <c r="Q206" i="2" s="1"/>
  <c r="I223" i="2"/>
  <c r="P223" i="2" s="1"/>
  <c r="I222" i="2"/>
  <c r="P222" i="2" s="1"/>
  <c r="I221" i="2"/>
  <c r="P221" i="2" s="1"/>
  <c r="I220" i="2"/>
  <c r="P220" i="2" s="1"/>
  <c r="I219" i="2"/>
  <c r="P219" i="2" s="1"/>
  <c r="I218" i="2"/>
  <c r="P218" i="2" s="1"/>
  <c r="I217" i="2"/>
  <c r="P217" i="2" s="1"/>
  <c r="I216" i="2"/>
  <c r="P216" i="2" s="1"/>
  <c r="I215" i="2"/>
  <c r="P215" i="2" s="1"/>
  <c r="I214" i="2"/>
  <c r="P214" i="2" s="1"/>
  <c r="I213" i="2"/>
  <c r="P213" i="2" s="1"/>
  <c r="I212" i="2"/>
  <c r="P212" i="2" s="1"/>
  <c r="I211" i="2"/>
  <c r="P211" i="2" s="1"/>
  <c r="I210" i="2"/>
  <c r="P210" i="2" s="1"/>
  <c r="I209" i="2"/>
  <c r="P209" i="2" s="1"/>
  <c r="I208" i="2"/>
  <c r="P208" i="2" s="1"/>
  <c r="I207" i="2"/>
  <c r="P207" i="2" s="1"/>
  <c r="I206" i="2"/>
  <c r="P206" i="2" s="1"/>
  <c r="H223" i="2"/>
  <c r="O223" i="2" s="1"/>
  <c r="H222" i="2"/>
  <c r="O222" i="2" s="1"/>
  <c r="H220" i="2"/>
  <c r="O220" i="2" s="1"/>
  <c r="H218" i="2"/>
  <c r="O218" i="2" s="1"/>
  <c r="H217" i="2"/>
  <c r="O217" i="2" s="1"/>
  <c r="H216" i="2"/>
  <c r="O216" i="2" s="1"/>
  <c r="H215" i="2"/>
  <c r="O215" i="2" s="1"/>
  <c r="H214" i="2"/>
  <c r="O214" i="2" s="1"/>
  <c r="H213" i="2"/>
  <c r="O213" i="2" s="1"/>
  <c r="H212" i="2"/>
  <c r="O212" i="2" s="1"/>
  <c r="H211" i="2"/>
  <c r="O211" i="2" s="1"/>
  <c r="H210" i="2"/>
  <c r="O210" i="2" s="1"/>
  <c r="H209" i="2"/>
  <c r="O209" i="2" s="1"/>
  <c r="H208" i="2"/>
  <c r="O208" i="2" s="1"/>
  <c r="H207" i="2"/>
  <c r="O207" i="2" s="1"/>
  <c r="H206" i="2"/>
  <c r="O206" i="2" s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J205" i="2"/>
  <c r="Q205" i="2" s="1"/>
  <c r="J204" i="2"/>
  <c r="Q204" i="2" s="1"/>
  <c r="J203" i="2"/>
  <c r="Q203" i="2" s="1"/>
  <c r="J202" i="2"/>
  <c r="Q202" i="2" s="1"/>
  <c r="J201" i="2"/>
  <c r="Q201" i="2" s="1"/>
  <c r="J200" i="2"/>
  <c r="Q200" i="2" s="1"/>
  <c r="I205" i="2"/>
  <c r="P205" i="2" s="1"/>
  <c r="I204" i="2"/>
  <c r="P204" i="2" s="1"/>
  <c r="I203" i="2"/>
  <c r="P203" i="2" s="1"/>
  <c r="I202" i="2"/>
  <c r="P202" i="2" s="1"/>
  <c r="I201" i="2"/>
  <c r="P201" i="2" s="1"/>
  <c r="I200" i="2"/>
  <c r="P200" i="2" s="1"/>
  <c r="H205" i="2"/>
  <c r="O205" i="2" s="1"/>
  <c r="H204" i="2"/>
  <c r="O204" i="2" s="1"/>
  <c r="H203" i="2"/>
  <c r="O203" i="2" s="1"/>
  <c r="H202" i="2"/>
  <c r="O202" i="2" s="1"/>
  <c r="H201" i="2"/>
  <c r="O201" i="2" s="1"/>
  <c r="H200" i="2"/>
  <c r="O200" i="2" s="1"/>
  <c r="G205" i="2"/>
  <c r="G204" i="2"/>
  <c r="G203" i="2"/>
  <c r="G202" i="2"/>
  <c r="G201" i="2"/>
  <c r="G200" i="2"/>
  <c r="N200" i="2" l="1"/>
  <c r="N212" i="2"/>
  <c r="N222" i="2"/>
  <c r="N202" i="2"/>
  <c r="N215" i="2"/>
  <c r="N214" i="2"/>
  <c r="N203" i="2"/>
  <c r="N204" i="2"/>
  <c r="N216" i="2"/>
  <c r="N224" i="2"/>
  <c r="N201" i="2"/>
  <c r="N223" i="2"/>
  <c r="N206" i="2"/>
  <c r="N207" i="2"/>
  <c r="N225" i="2"/>
  <c r="N213" i="2"/>
  <c r="N205" i="2"/>
  <c r="N217" i="2"/>
  <c r="N218" i="2"/>
  <c r="N226" i="2"/>
  <c r="N219" i="2"/>
  <c r="N208" i="2"/>
  <c r="N209" i="2"/>
  <c r="N227" i="2"/>
  <c r="N210" i="2"/>
  <c r="N228" i="2"/>
  <c r="N220" i="2"/>
  <c r="N211" i="2"/>
  <c r="N221" i="2"/>
  <c r="N229" i="2"/>
  <c r="K229" i="2"/>
  <c r="L209" i="2"/>
  <c r="L217" i="2"/>
  <c r="K202" i="2"/>
  <c r="K220" i="2"/>
  <c r="L218" i="2"/>
  <c r="L210" i="2"/>
  <c r="L222" i="2"/>
  <c r="L213" i="2"/>
  <c r="K205" i="2"/>
  <c r="L200" i="2"/>
  <c r="L223" i="2"/>
  <c r="K204" i="2"/>
  <c r="L206" i="2"/>
  <c r="L214" i="2"/>
  <c r="L207" i="2"/>
  <c r="L215" i="2"/>
  <c r="K212" i="2"/>
  <c r="K214" i="2"/>
  <c r="K200" i="2"/>
  <c r="L208" i="2"/>
  <c r="L216" i="2"/>
  <c r="K222" i="2"/>
  <c r="K218" i="2"/>
  <c r="K211" i="2"/>
  <c r="L212" i="2"/>
  <c r="K216" i="2"/>
  <c r="K208" i="2"/>
  <c r="K206" i="2"/>
  <c r="L203" i="2"/>
  <c r="L204" i="2"/>
  <c r="L211" i="2"/>
  <c r="K223" i="2"/>
  <c r="K217" i="2"/>
  <c r="K215" i="2"/>
  <c r="K213" i="2"/>
  <c r="K210" i="2"/>
  <c r="K209" i="2"/>
  <c r="K207" i="2"/>
  <c r="L205" i="2"/>
  <c r="L202" i="2"/>
  <c r="L201" i="2"/>
  <c r="K219" i="2"/>
  <c r="K203" i="2"/>
  <c r="L220" i="2"/>
  <c r="L229" i="2"/>
  <c r="L228" i="2"/>
  <c r="L227" i="2"/>
  <c r="L226" i="2"/>
  <c r="L225" i="2"/>
  <c r="L224" i="2"/>
  <c r="K228" i="2"/>
  <c r="K227" i="2"/>
  <c r="K226" i="2"/>
  <c r="K225" i="2"/>
  <c r="K224" i="2"/>
  <c r="K221" i="2"/>
  <c r="K201" i="2"/>
  <c r="J199" i="2"/>
  <c r="Q199" i="2" s="1"/>
  <c r="J198" i="2"/>
  <c r="Q198" i="2" s="1"/>
  <c r="J197" i="2"/>
  <c r="Q197" i="2" s="1"/>
  <c r="J196" i="2"/>
  <c r="Q196" i="2" s="1"/>
  <c r="J195" i="2"/>
  <c r="Q195" i="2" s="1"/>
  <c r="J194" i="2"/>
  <c r="Q194" i="2" s="1"/>
  <c r="I199" i="2"/>
  <c r="P199" i="2" s="1"/>
  <c r="I198" i="2"/>
  <c r="P198" i="2" s="1"/>
  <c r="I197" i="2"/>
  <c r="P197" i="2" s="1"/>
  <c r="I196" i="2"/>
  <c r="P196" i="2" s="1"/>
  <c r="I195" i="2"/>
  <c r="P195" i="2" s="1"/>
  <c r="I194" i="2"/>
  <c r="P194" i="2" s="1"/>
  <c r="H199" i="2"/>
  <c r="O199" i="2" s="1"/>
  <c r="H198" i="2"/>
  <c r="O198" i="2" s="1"/>
  <c r="H197" i="2"/>
  <c r="O197" i="2" s="1"/>
  <c r="H196" i="2"/>
  <c r="O196" i="2" s="1"/>
  <c r="H195" i="2"/>
  <c r="O195" i="2" s="1"/>
  <c r="H194" i="2"/>
  <c r="O194" i="2" s="1"/>
  <c r="G199" i="2"/>
  <c r="G198" i="2"/>
  <c r="G197" i="2"/>
  <c r="G196" i="2"/>
  <c r="G195" i="2"/>
  <c r="G194" i="2"/>
  <c r="J193" i="2"/>
  <c r="Q193" i="2" s="1"/>
  <c r="J192" i="2"/>
  <c r="Q192" i="2" s="1"/>
  <c r="J191" i="2"/>
  <c r="Q191" i="2" s="1"/>
  <c r="J190" i="2"/>
  <c r="Q190" i="2" s="1"/>
  <c r="J189" i="2"/>
  <c r="Q189" i="2" s="1"/>
  <c r="J188" i="2"/>
  <c r="Q188" i="2" s="1"/>
  <c r="I193" i="2"/>
  <c r="P193" i="2" s="1"/>
  <c r="I192" i="2"/>
  <c r="P192" i="2" s="1"/>
  <c r="I191" i="2"/>
  <c r="P191" i="2" s="1"/>
  <c r="I190" i="2"/>
  <c r="P190" i="2" s="1"/>
  <c r="I189" i="2"/>
  <c r="P189" i="2" s="1"/>
  <c r="I188" i="2"/>
  <c r="P188" i="2" s="1"/>
  <c r="H193" i="2"/>
  <c r="O193" i="2" s="1"/>
  <c r="H192" i="2"/>
  <c r="O192" i="2" s="1"/>
  <c r="H191" i="2"/>
  <c r="O191" i="2" s="1"/>
  <c r="H190" i="2"/>
  <c r="O190" i="2" s="1"/>
  <c r="H189" i="2"/>
  <c r="O189" i="2" s="1"/>
  <c r="H188" i="2"/>
  <c r="O188" i="2" s="1"/>
  <c r="G193" i="2"/>
  <c r="G192" i="2"/>
  <c r="G191" i="2"/>
  <c r="G190" i="2"/>
  <c r="G189" i="2"/>
  <c r="G188" i="2"/>
  <c r="J187" i="2"/>
  <c r="Q187" i="2" s="1"/>
  <c r="J186" i="2"/>
  <c r="Q186" i="2" s="1"/>
  <c r="J185" i="2"/>
  <c r="Q185" i="2" s="1"/>
  <c r="J184" i="2"/>
  <c r="Q184" i="2" s="1"/>
  <c r="J183" i="2"/>
  <c r="Q183" i="2" s="1"/>
  <c r="J182" i="2"/>
  <c r="Q182" i="2" s="1"/>
  <c r="I187" i="2"/>
  <c r="P187" i="2" s="1"/>
  <c r="I186" i="2"/>
  <c r="P186" i="2" s="1"/>
  <c r="I185" i="2"/>
  <c r="P185" i="2" s="1"/>
  <c r="I184" i="2"/>
  <c r="P184" i="2" s="1"/>
  <c r="I183" i="2"/>
  <c r="P183" i="2" s="1"/>
  <c r="I182" i="2"/>
  <c r="P182" i="2" s="1"/>
  <c r="H187" i="2"/>
  <c r="O187" i="2" s="1"/>
  <c r="H186" i="2"/>
  <c r="O186" i="2" s="1"/>
  <c r="H185" i="2"/>
  <c r="O185" i="2" s="1"/>
  <c r="H184" i="2"/>
  <c r="O184" i="2" s="1"/>
  <c r="H183" i="2"/>
  <c r="O183" i="2" s="1"/>
  <c r="H182" i="2"/>
  <c r="O182" i="2" s="1"/>
  <c r="G187" i="2"/>
  <c r="G186" i="2"/>
  <c r="G185" i="2"/>
  <c r="G184" i="2"/>
  <c r="G183" i="2"/>
  <c r="G182" i="2"/>
  <c r="J181" i="2"/>
  <c r="Q181" i="2" s="1"/>
  <c r="J180" i="2"/>
  <c r="Q180" i="2" s="1"/>
  <c r="J179" i="2"/>
  <c r="Q179" i="2" s="1"/>
  <c r="J178" i="2"/>
  <c r="Q178" i="2" s="1"/>
  <c r="J177" i="2"/>
  <c r="Q177" i="2" s="1"/>
  <c r="J176" i="2"/>
  <c r="Q176" i="2" s="1"/>
  <c r="I181" i="2"/>
  <c r="P181" i="2" s="1"/>
  <c r="I180" i="2"/>
  <c r="P180" i="2" s="1"/>
  <c r="I179" i="2"/>
  <c r="P179" i="2" s="1"/>
  <c r="I178" i="2"/>
  <c r="P178" i="2" s="1"/>
  <c r="I177" i="2"/>
  <c r="P177" i="2" s="1"/>
  <c r="I176" i="2"/>
  <c r="P176" i="2" s="1"/>
  <c r="H181" i="2"/>
  <c r="O181" i="2" s="1"/>
  <c r="H180" i="2"/>
  <c r="O180" i="2" s="1"/>
  <c r="H179" i="2"/>
  <c r="O179" i="2" s="1"/>
  <c r="H178" i="2"/>
  <c r="O178" i="2" s="1"/>
  <c r="H177" i="2"/>
  <c r="O177" i="2" s="1"/>
  <c r="G176" i="2"/>
  <c r="H176" i="2"/>
  <c r="O176" i="2" s="1"/>
  <c r="G181" i="2"/>
  <c r="G180" i="2"/>
  <c r="G179" i="2"/>
  <c r="G178" i="2"/>
  <c r="G177" i="2"/>
  <c r="J175" i="2"/>
  <c r="Q175" i="2" s="1"/>
  <c r="J174" i="2"/>
  <c r="Q174" i="2" s="1"/>
  <c r="J173" i="2"/>
  <c r="Q173" i="2" s="1"/>
  <c r="J172" i="2"/>
  <c r="Q172" i="2" s="1"/>
  <c r="J171" i="2"/>
  <c r="Q171" i="2" s="1"/>
  <c r="I175" i="2"/>
  <c r="P175" i="2" s="1"/>
  <c r="I174" i="2"/>
  <c r="P174" i="2" s="1"/>
  <c r="I173" i="2"/>
  <c r="P173" i="2" s="1"/>
  <c r="I172" i="2"/>
  <c r="P172" i="2" s="1"/>
  <c r="I171" i="2"/>
  <c r="P171" i="2" s="1"/>
  <c r="H175" i="2"/>
  <c r="O175" i="2" s="1"/>
  <c r="H174" i="2"/>
  <c r="O174" i="2" s="1"/>
  <c r="H173" i="2"/>
  <c r="O173" i="2" s="1"/>
  <c r="H172" i="2"/>
  <c r="O172" i="2" s="1"/>
  <c r="H171" i="2"/>
  <c r="O171" i="2" s="1"/>
  <c r="G175" i="2"/>
  <c r="G174" i="2"/>
  <c r="G173" i="2"/>
  <c r="G172" i="2"/>
  <c r="G171" i="2"/>
  <c r="J169" i="2"/>
  <c r="Q169" i="2" s="1"/>
  <c r="J168" i="2"/>
  <c r="Q168" i="2" s="1"/>
  <c r="J167" i="2"/>
  <c r="Q167" i="2" s="1"/>
  <c r="J166" i="2"/>
  <c r="Q166" i="2" s="1"/>
  <c r="J165" i="2"/>
  <c r="Q165" i="2" s="1"/>
  <c r="J164" i="2"/>
  <c r="Q164" i="2" s="1"/>
  <c r="I169" i="2"/>
  <c r="P169" i="2" s="1"/>
  <c r="I168" i="2"/>
  <c r="P168" i="2" s="1"/>
  <c r="I167" i="2"/>
  <c r="P167" i="2" s="1"/>
  <c r="I166" i="2"/>
  <c r="P166" i="2" s="1"/>
  <c r="I165" i="2"/>
  <c r="P165" i="2" s="1"/>
  <c r="I164" i="2"/>
  <c r="P164" i="2" s="1"/>
  <c r="H168" i="2"/>
  <c r="O168" i="2" s="1"/>
  <c r="H167" i="2"/>
  <c r="O167" i="2" s="1"/>
  <c r="H166" i="2"/>
  <c r="O166" i="2" s="1"/>
  <c r="H165" i="2"/>
  <c r="O165" i="2" s="1"/>
  <c r="H164" i="2"/>
  <c r="O164" i="2" s="1"/>
  <c r="G169" i="2"/>
  <c r="G168" i="2"/>
  <c r="G167" i="2"/>
  <c r="G166" i="2"/>
  <c r="G165" i="2"/>
  <c r="G164" i="2"/>
  <c r="N192" i="2" l="1"/>
  <c r="N173" i="2"/>
  <c r="N179" i="2"/>
  <c r="N193" i="2"/>
  <c r="N175" i="2"/>
  <c r="N181" i="2"/>
  <c r="N182" i="2"/>
  <c r="N196" i="2"/>
  <c r="N174" i="2"/>
  <c r="N180" i="2"/>
  <c r="N183" i="2"/>
  <c r="N197" i="2"/>
  <c r="N194" i="2"/>
  <c r="N195" i="2"/>
  <c r="N176" i="2"/>
  <c r="N184" i="2"/>
  <c r="N198" i="2"/>
  <c r="N185" i="2"/>
  <c r="N188" i="2"/>
  <c r="N199" i="2"/>
  <c r="N165" i="2"/>
  <c r="N166" i="2"/>
  <c r="N187" i="2"/>
  <c r="N189" i="2"/>
  <c r="N164" i="2"/>
  <c r="N167" i="2"/>
  <c r="N171" i="2"/>
  <c r="N190" i="2"/>
  <c r="N169" i="2"/>
  <c r="N186" i="2"/>
  <c r="N177" i="2"/>
  <c r="N168" i="2"/>
  <c r="N172" i="2"/>
  <c r="N178" i="2"/>
  <c r="N191" i="2"/>
  <c r="L180" i="2"/>
  <c r="L184" i="2"/>
  <c r="K186" i="2"/>
  <c r="K184" i="2"/>
  <c r="L183" i="2"/>
  <c r="K185" i="2"/>
  <c r="K176" i="2"/>
  <c r="K187" i="2"/>
  <c r="K173" i="2"/>
  <c r="K180" i="2"/>
  <c r="L181" i="2"/>
  <c r="L191" i="2"/>
  <c r="K182" i="2"/>
  <c r="L193" i="2"/>
  <c r="L177" i="2"/>
  <c r="K179" i="2"/>
  <c r="L176" i="2"/>
  <c r="K183" i="2"/>
  <c r="L190" i="2"/>
  <c r="K181" i="2"/>
  <c r="K177" i="2"/>
  <c r="L178" i="2"/>
  <c r="K178" i="2"/>
  <c r="L179" i="2"/>
  <c r="L187" i="2"/>
  <c r="L186" i="2"/>
  <c r="L185" i="2"/>
  <c r="L182" i="2"/>
  <c r="L188" i="2"/>
  <c r="K198" i="2"/>
  <c r="K188" i="2"/>
  <c r="K199" i="2"/>
  <c r="L192" i="2"/>
  <c r="L189" i="2"/>
  <c r="L194" i="2"/>
  <c r="K193" i="2"/>
  <c r="K192" i="2"/>
  <c r="K191" i="2"/>
  <c r="K190" i="2"/>
  <c r="K189" i="2"/>
  <c r="L195" i="2"/>
  <c r="K194" i="2"/>
  <c r="L196" i="2"/>
  <c r="K195" i="2"/>
  <c r="L197" i="2"/>
  <c r="K196" i="2"/>
  <c r="L198" i="2"/>
  <c r="K197" i="2"/>
  <c r="L199" i="2"/>
  <c r="L174" i="2"/>
  <c r="L172" i="2"/>
  <c r="L173" i="2"/>
  <c r="L171" i="2"/>
  <c r="K174" i="2"/>
  <c r="K172" i="2"/>
  <c r="L175" i="2"/>
  <c r="K164" i="2"/>
  <c r="K175" i="2"/>
  <c r="K165" i="2"/>
  <c r="L167" i="2"/>
  <c r="K166" i="2"/>
  <c r="L168" i="2"/>
  <c r="K171" i="2"/>
  <c r="K167" i="2"/>
  <c r="K168" i="2"/>
  <c r="K169" i="2"/>
  <c r="L166" i="2"/>
  <c r="L165" i="2"/>
  <c r="L164" i="2"/>
  <c r="J163" i="2"/>
  <c r="Q163" i="2" s="1"/>
  <c r="J162" i="2"/>
  <c r="Q162" i="2" s="1"/>
  <c r="J161" i="2"/>
  <c r="Q161" i="2" s="1"/>
  <c r="J160" i="2"/>
  <c r="Q160" i="2" s="1"/>
  <c r="J159" i="2"/>
  <c r="Q159" i="2" s="1"/>
  <c r="J158" i="2"/>
  <c r="Q158" i="2" s="1"/>
  <c r="I163" i="2"/>
  <c r="P163" i="2" s="1"/>
  <c r="I162" i="2"/>
  <c r="P162" i="2" s="1"/>
  <c r="I161" i="2"/>
  <c r="P161" i="2" s="1"/>
  <c r="I160" i="2"/>
  <c r="P160" i="2" s="1"/>
  <c r="I159" i="2"/>
  <c r="P159" i="2" s="1"/>
  <c r="I158" i="2"/>
  <c r="P158" i="2" s="1"/>
  <c r="H163" i="2"/>
  <c r="O163" i="2" s="1"/>
  <c r="H162" i="2"/>
  <c r="O162" i="2" s="1"/>
  <c r="H161" i="2"/>
  <c r="O161" i="2" s="1"/>
  <c r="H160" i="2"/>
  <c r="O160" i="2" s="1"/>
  <c r="H159" i="2"/>
  <c r="O159" i="2" s="1"/>
  <c r="H158" i="2"/>
  <c r="O158" i="2" s="1"/>
  <c r="G163" i="2"/>
  <c r="G162" i="2"/>
  <c r="G161" i="2"/>
  <c r="G160" i="2"/>
  <c r="G159" i="2"/>
  <c r="G158" i="2"/>
  <c r="J157" i="2"/>
  <c r="Q157" i="2" s="1"/>
  <c r="J155" i="2"/>
  <c r="Q155" i="2" s="1"/>
  <c r="J154" i="2"/>
  <c r="Q154" i="2" s="1"/>
  <c r="J153" i="2"/>
  <c r="Q153" i="2" s="1"/>
  <c r="J152" i="2"/>
  <c r="Q152" i="2" s="1"/>
  <c r="I157" i="2"/>
  <c r="P157" i="2" s="1"/>
  <c r="I156" i="2"/>
  <c r="P156" i="2" s="1"/>
  <c r="I155" i="2"/>
  <c r="P155" i="2" s="1"/>
  <c r="I154" i="2"/>
  <c r="P154" i="2" s="1"/>
  <c r="I153" i="2"/>
  <c r="P153" i="2" s="1"/>
  <c r="I152" i="2"/>
  <c r="P152" i="2" s="1"/>
  <c r="J151" i="2"/>
  <c r="Q151" i="2" s="1"/>
  <c r="J150" i="2"/>
  <c r="Q150" i="2" s="1"/>
  <c r="J149" i="2"/>
  <c r="Q149" i="2" s="1"/>
  <c r="J148" i="2"/>
  <c r="Q148" i="2" s="1"/>
  <c r="J147" i="2"/>
  <c r="Q147" i="2" s="1"/>
  <c r="J146" i="2"/>
  <c r="Q146" i="2" s="1"/>
  <c r="I151" i="2"/>
  <c r="P151" i="2" s="1"/>
  <c r="I150" i="2"/>
  <c r="P150" i="2" s="1"/>
  <c r="I149" i="2"/>
  <c r="P149" i="2" s="1"/>
  <c r="I148" i="2"/>
  <c r="P148" i="2" s="1"/>
  <c r="I147" i="2"/>
  <c r="P147" i="2" s="1"/>
  <c r="I146" i="2"/>
  <c r="P146" i="2" s="1"/>
  <c r="J144" i="2"/>
  <c r="Q144" i="2" s="1"/>
  <c r="J143" i="2"/>
  <c r="Q143" i="2" s="1"/>
  <c r="J142" i="2"/>
  <c r="Q142" i="2" s="1"/>
  <c r="J141" i="2"/>
  <c r="Q141" i="2" s="1"/>
  <c r="J140" i="2"/>
  <c r="Q140" i="2" s="1"/>
  <c r="I145" i="2"/>
  <c r="P145" i="2" s="1"/>
  <c r="I144" i="2"/>
  <c r="P144" i="2" s="1"/>
  <c r="I143" i="2"/>
  <c r="P143" i="2" s="1"/>
  <c r="I142" i="2"/>
  <c r="P142" i="2" s="1"/>
  <c r="I141" i="2"/>
  <c r="P141" i="2" s="1"/>
  <c r="I140" i="2"/>
  <c r="P140" i="2" s="1"/>
  <c r="J139" i="2"/>
  <c r="Q139" i="2" s="1"/>
  <c r="J138" i="2"/>
  <c r="Q138" i="2" s="1"/>
  <c r="J137" i="2"/>
  <c r="Q137" i="2" s="1"/>
  <c r="J136" i="2"/>
  <c r="Q136" i="2" s="1"/>
  <c r="J135" i="2"/>
  <c r="Q135" i="2" s="1"/>
  <c r="J134" i="2"/>
  <c r="Q134" i="2" s="1"/>
  <c r="I139" i="2"/>
  <c r="P139" i="2" s="1"/>
  <c r="I138" i="2"/>
  <c r="P138" i="2" s="1"/>
  <c r="I137" i="2"/>
  <c r="P137" i="2" s="1"/>
  <c r="I136" i="2"/>
  <c r="P136" i="2" s="1"/>
  <c r="I135" i="2"/>
  <c r="P135" i="2" s="1"/>
  <c r="I134" i="2"/>
  <c r="P134" i="2" s="1"/>
  <c r="J133" i="2"/>
  <c r="Q133" i="2" s="1"/>
  <c r="J132" i="2"/>
  <c r="Q132" i="2" s="1"/>
  <c r="J131" i="2"/>
  <c r="Q131" i="2" s="1"/>
  <c r="J130" i="2"/>
  <c r="Q130" i="2" s="1"/>
  <c r="J129" i="2"/>
  <c r="Q129" i="2" s="1"/>
  <c r="J128" i="2"/>
  <c r="Q128" i="2" s="1"/>
  <c r="I133" i="2"/>
  <c r="P133" i="2" s="1"/>
  <c r="I132" i="2"/>
  <c r="P132" i="2" s="1"/>
  <c r="I131" i="2"/>
  <c r="P131" i="2" s="1"/>
  <c r="I130" i="2"/>
  <c r="P130" i="2" s="1"/>
  <c r="I129" i="2"/>
  <c r="P129" i="2" s="1"/>
  <c r="I128" i="2"/>
  <c r="P128" i="2" s="1"/>
  <c r="J127" i="2"/>
  <c r="Q127" i="2" s="1"/>
  <c r="J126" i="2"/>
  <c r="Q126" i="2" s="1"/>
  <c r="J125" i="2"/>
  <c r="Q125" i="2" s="1"/>
  <c r="I125" i="2"/>
  <c r="P125" i="2" s="1"/>
  <c r="J123" i="2"/>
  <c r="Q123" i="2" s="1"/>
  <c r="J122" i="2"/>
  <c r="Q122" i="2" s="1"/>
  <c r="I127" i="2"/>
  <c r="P127" i="2" s="1"/>
  <c r="I126" i="2"/>
  <c r="P126" i="2" s="1"/>
  <c r="I123" i="2"/>
  <c r="P123" i="2" s="1"/>
  <c r="I122" i="2"/>
  <c r="P122" i="2" s="1"/>
  <c r="L68" i="2"/>
  <c r="L69" i="2"/>
  <c r="L70" i="2"/>
  <c r="L71" i="2"/>
  <c r="L72" i="2"/>
  <c r="L73" i="2"/>
  <c r="L99" i="2"/>
  <c r="L100" i="2"/>
  <c r="L102" i="2"/>
  <c r="L103" i="2"/>
  <c r="L74" i="2"/>
  <c r="L75" i="2"/>
  <c r="L76" i="2"/>
  <c r="L77" i="2"/>
  <c r="L78" i="2"/>
  <c r="L79" i="2"/>
  <c r="L104" i="2"/>
  <c r="L105" i="2"/>
  <c r="L106" i="2"/>
  <c r="L107" i="2"/>
  <c r="L108" i="2"/>
  <c r="L109" i="2"/>
  <c r="L56" i="2"/>
  <c r="L57" i="2"/>
  <c r="L58" i="2"/>
  <c r="L59" i="2"/>
  <c r="L60" i="2"/>
  <c r="L61" i="2"/>
  <c r="L80" i="2"/>
  <c r="L81" i="2"/>
  <c r="L82" i="2"/>
  <c r="L83" i="2"/>
  <c r="L84" i="2"/>
  <c r="L85" i="2"/>
  <c r="L110" i="2"/>
  <c r="L111" i="2"/>
  <c r="L112" i="2"/>
  <c r="L113" i="2"/>
  <c r="L114" i="2"/>
  <c r="L115" i="2"/>
  <c r="L62" i="2"/>
  <c r="L63" i="2"/>
  <c r="L64" i="2"/>
  <c r="L65" i="2"/>
  <c r="L66" i="2"/>
  <c r="L67" i="2"/>
  <c r="L86" i="2"/>
  <c r="L87" i="2"/>
  <c r="L88" i="2"/>
  <c r="L89" i="2"/>
  <c r="L90" i="2"/>
  <c r="L91" i="2"/>
  <c r="L92" i="2"/>
  <c r="L93" i="2"/>
  <c r="L94" i="2"/>
  <c r="L95" i="2"/>
  <c r="L96" i="2"/>
  <c r="L97" i="2"/>
  <c r="J121" i="2"/>
  <c r="Q121" i="2" s="1"/>
  <c r="I121" i="2"/>
  <c r="P121" i="2" s="1"/>
  <c r="J120" i="2"/>
  <c r="Q120" i="2" s="1"/>
  <c r="I120" i="2"/>
  <c r="P120" i="2" s="1"/>
  <c r="J119" i="2"/>
  <c r="Q119" i="2" s="1"/>
  <c r="I119" i="2"/>
  <c r="P119" i="2" s="1"/>
  <c r="J117" i="2"/>
  <c r="Q117" i="2" s="1"/>
  <c r="I117" i="2"/>
  <c r="P117" i="2" s="1"/>
  <c r="J116" i="2"/>
  <c r="Q116" i="2" s="1"/>
  <c r="I116" i="2"/>
  <c r="P116" i="2" s="1"/>
  <c r="K97" i="2"/>
  <c r="K96" i="2"/>
  <c r="K95" i="2"/>
  <c r="K94" i="2"/>
  <c r="K93" i="2"/>
  <c r="K92" i="2"/>
  <c r="K25" i="2"/>
  <c r="K24" i="2"/>
  <c r="K23" i="2"/>
  <c r="K22" i="2"/>
  <c r="K21" i="2"/>
  <c r="K20" i="2"/>
  <c r="K19" i="2"/>
  <c r="K18" i="2"/>
  <c r="K17" i="2"/>
  <c r="K16" i="2"/>
  <c r="K15" i="2"/>
  <c r="K14" i="2"/>
  <c r="K43" i="2"/>
  <c r="K42" i="2"/>
  <c r="K41" i="2"/>
  <c r="K40" i="2"/>
  <c r="K39" i="2"/>
  <c r="K38" i="2"/>
  <c r="K13" i="2"/>
  <c r="K12" i="2"/>
  <c r="K11" i="2"/>
  <c r="K10" i="2"/>
  <c r="K9" i="2"/>
  <c r="K8" i="2"/>
  <c r="K91" i="2"/>
  <c r="K90" i="2"/>
  <c r="K89" i="2"/>
  <c r="K88" i="2"/>
  <c r="K87" i="2"/>
  <c r="K86" i="2"/>
  <c r="K67" i="2"/>
  <c r="K66" i="2"/>
  <c r="K65" i="2"/>
  <c r="K64" i="2"/>
  <c r="K63" i="2"/>
  <c r="K62" i="2"/>
  <c r="K115" i="2"/>
  <c r="K114" i="2"/>
  <c r="K113" i="2"/>
  <c r="K112" i="2"/>
  <c r="K111" i="2"/>
  <c r="K110" i="2"/>
  <c r="K37" i="2"/>
  <c r="K36" i="2"/>
  <c r="K35" i="2"/>
  <c r="K34" i="2"/>
  <c r="K33" i="2"/>
  <c r="K32" i="2"/>
  <c r="K7" i="2"/>
  <c r="K6" i="2"/>
  <c r="K5" i="2"/>
  <c r="K4" i="2"/>
  <c r="K3" i="2"/>
  <c r="K85" i="2"/>
  <c r="K84" i="2"/>
  <c r="K83" i="2"/>
  <c r="K82" i="2"/>
  <c r="K81" i="2"/>
  <c r="K80" i="2"/>
  <c r="K61" i="2"/>
  <c r="K60" i="2"/>
  <c r="K59" i="2"/>
  <c r="K58" i="2"/>
  <c r="K57" i="2"/>
  <c r="K56" i="2"/>
  <c r="K31" i="2"/>
  <c r="K30" i="2"/>
  <c r="K29" i="2"/>
  <c r="K28" i="2"/>
  <c r="K27" i="2"/>
  <c r="K26" i="2"/>
  <c r="K109" i="2"/>
  <c r="K108" i="2"/>
  <c r="K107" i="2"/>
  <c r="K106" i="2"/>
  <c r="K105" i="2"/>
  <c r="K104" i="2"/>
  <c r="K79" i="2"/>
  <c r="K78" i="2"/>
  <c r="K77" i="2"/>
  <c r="K76" i="2"/>
  <c r="K75" i="2"/>
  <c r="K74" i="2"/>
  <c r="K55" i="2"/>
  <c r="K54" i="2"/>
  <c r="K53" i="2"/>
  <c r="K52" i="2"/>
  <c r="K51" i="2"/>
  <c r="K50" i="2"/>
  <c r="K103" i="2"/>
  <c r="K102" i="2"/>
  <c r="K101" i="2"/>
  <c r="K100" i="2"/>
  <c r="K99" i="2"/>
  <c r="K98" i="2"/>
  <c r="K73" i="2"/>
  <c r="K72" i="2"/>
  <c r="K71" i="2"/>
  <c r="K70" i="2"/>
  <c r="K69" i="2"/>
  <c r="K68" i="2"/>
  <c r="K49" i="2"/>
  <c r="K48" i="2"/>
  <c r="K47" i="2"/>
  <c r="K46" i="2"/>
  <c r="K45" i="2"/>
  <c r="K44" i="2"/>
  <c r="N160" i="2" l="1"/>
  <c r="N162" i="2"/>
  <c r="N161" i="2"/>
  <c r="N159" i="2"/>
  <c r="N163" i="2"/>
  <c r="N158" i="2"/>
  <c r="L154" i="2"/>
  <c r="K156" i="2"/>
  <c r="K163" i="2"/>
  <c r="K162" i="2"/>
  <c r="K160" i="2"/>
  <c r="K159" i="2"/>
  <c r="K153" i="2"/>
  <c r="L157" i="2"/>
  <c r="L163" i="2"/>
  <c r="L162" i="2"/>
  <c r="L161" i="2"/>
  <c r="L160" i="2"/>
  <c r="L159" i="2"/>
  <c r="L158" i="2"/>
  <c r="K161" i="2"/>
  <c r="K158" i="2"/>
  <c r="K157" i="2"/>
  <c r="K154" i="2"/>
  <c r="L155" i="2"/>
  <c r="K155" i="2"/>
  <c r="L152" i="2"/>
  <c r="K152" i="2"/>
  <c r="K150" i="2"/>
  <c r="K151" i="2"/>
  <c r="L147" i="2"/>
  <c r="K146" i="2"/>
  <c r="L148" i="2"/>
  <c r="K147" i="2"/>
  <c r="K149" i="2"/>
  <c r="K148" i="2"/>
  <c r="L146" i="2"/>
  <c r="L151" i="2"/>
  <c r="L150" i="2"/>
  <c r="L149" i="2"/>
  <c r="L139" i="2"/>
  <c r="K119" i="2"/>
  <c r="K126" i="2"/>
  <c r="K135" i="2"/>
  <c r="L124" i="2"/>
  <c r="L138" i="2"/>
  <c r="K125" i="2"/>
  <c r="L129" i="2"/>
  <c r="K132" i="2"/>
  <c r="L142" i="2"/>
  <c r="L137" i="2"/>
  <c r="K142" i="2"/>
  <c r="K124" i="2"/>
  <c r="L128" i="2"/>
  <c r="K139" i="2"/>
  <c r="L133" i="2"/>
  <c r="K136" i="2"/>
  <c r="K127" i="2"/>
  <c r="L127" i="2"/>
  <c r="L122" i="2"/>
  <c r="L131" i="2"/>
  <c r="L135" i="2"/>
  <c r="K128" i="2"/>
  <c r="K123" i="2"/>
  <c r="L136" i="2"/>
  <c r="K133" i="2"/>
  <c r="K129" i="2"/>
  <c r="K137" i="2"/>
  <c r="L143" i="2"/>
  <c r="L130" i="2"/>
  <c r="L134" i="2"/>
  <c r="K143" i="2"/>
  <c r="K122" i="2"/>
  <c r="K130" i="2"/>
  <c r="K138" i="2"/>
  <c r="K134" i="2"/>
  <c r="L144" i="2"/>
  <c r="L140" i="2"/>
  <c r="L126" i="2"/>
  <c r="L123" i="2"/>
  <c r="K144" i="2"/>
  <c r="K140" i="2"/>
  <c r="K131" i="2"/>
  <c r="L141" i="2"/>
  <c r="L132" i="2"/>
  <c r="K141" i="2"/>
  <c r="K145" i="2"/>
  <c r="L121" i="2"/>
  <c r="L120" i="2"/>
  <c r="L119" i="2"/>
  <c r="L118" i="2"/>
  <c r="L117" i="2"/>
  <c r="L116" i="2"/>
  <c r="K121" i="2"/>
  <c r="K116" i="2"/>
  <c r="K120" i="2"/>
  <c r="K118" i="2"/>
  <c r="K117" i="2"/>
</calcChain>
</file>

<file path=xl/sharedStrings.xml><?xml version="1.0" encoding="utf-8"?>
<sst xmlns="http://schemas.openxmlformats.org/spreadsheetml/2006/main" count="983" uniqueCount="75">
  <si>
    <t>date_1</t>
  </si>
  <si>
    <t>Place</t>
  </si>
  <si>
    <t>Total_CFU_100mL</t>
  </si>
  <si>
    <t>Total_CFU_100mL_2</t>
  </si>
  <si>
    <t>ESBL_CFU_100mL</t>
  </si>
  <si>
    <t>ESBL_CFU_100mL_2</t>
  </si>
  <si>
    <t>01_02_2022</t>
  </si>
  <si>
    <t>Altenrhein</t>
  </si>
  <si>
    <t>na</t>
  </si>
  <si>
    <t>Chur</t>
  </si>
  <si>
    <t>Geneva</t>
  </si>
  <si>
    <t>Laupen</t>
  </si>
  <si>
    <t>Lugano</t>
  </si>
  <si>
    <t>01_03_2022</t>
  </si>
  <si>
    <t>05_04_2022</t>
  </si>
  <si>
    <t>08_02_2022</t>
  </si>
  <si>
    <t>08_03_2022</t>
  </si>
  <si>
    <t>12_04_2022</t>
  </si>
  <si>
    <t>14_12_2021</t>
  </si>
  <si>
    <t>15_02_2022</t>
  </si>
  <si>
    <t>15_03_2022</t>
  </si>
  <si>
    <t>16_11_2021</t>
  </si>
  <si>
    <t>18_01_2022</t>
  </si>
  <si>
    <t>19_04_2022</t>
  </si>
  <si>
    <t>22_02_2022</t>
  </si>
  <si>
    <t>22_03_2022</t>
  </si>
  <si>
    <t>23_11_2021</t>
  </si>
  <si>
    <t>25_01_2022</t>
  </si>
  <si>
    <t>29_03_2022</t>
  </si>
  <si>
    <t>30_11_2021</t>
  </si>
  <si>
    <t>7_12_2021</t>
  </si>
  <si>
    <t>26_04_2022</t>
  </si>
  <si>
    <t>Zurich</t>
  </si>
  <si>
    <t>03_05_2022</t>
  </si>
  <si>
    <t>10_05_2022</t>
  </si>
  <si>
    <t>17_05_2022</t>
  </si>
  <si>
    <t>24_05_2022</t>
  </si>
  <si>
    <t>31_05_2022</t>
  </si>
  <si>
    <t>Precipitations_24h_sum_mm</t>
  </si>
  <si>
    <t>Temperature_C</t>
  </si>
  <si>
    <t>07_06_2022</t>
  </si>
  <si>
    <t>14_06_2022</t>
  </si>
  <si>
    <t>Capacity</t>
  </si>
  <si>
    <t>21_06_2022</t>
  </si>
  <si>
    <t>28_06_2022</t>
  </si>
  <si>
    <t>05_07_2022</t>
  </si>
  <si>
    <t>12_07_2022</t>
  </si>
  <si>
    <t>19_07_2022</t>
  </si>
  <si>
    <t>26_07_2022</t>
  </si>
  <si>
    <t>02_08_2022</t>
  </si>
  <si>
    <t>09_08_2022</t>
  </si>
  <si>
    <t>16_08_2022</t>
  </si>
  <si>
    <t>23_08_2022</t>
  </si>
  <si>
    <t>30_08_2022</t>
  </si>
  <si>
    <t>06_09_2022</t>
  </si>
  <si>
    <t>13_09_2022</t>
  </si>
  <si>
    <t>20_09_2022</t>
  </si>
  <si>
    <t>27_09_2022</t>
  </si>
  <si>
    <t>04_10_2022</t>
  </si>
  <si>
    <t>11_10_2022</t>
  </si>
  <si>
    <t>18_10_2022</t>
  </si>
  <si>
    <t>25_10_2022</t>
  </si>
  <si>
    <t>1_11_2022</t>
  </si>
  <si>
    <t>8_11_2022</t>
  </si>
  <si>
    <t>15_11_2022</t>
  </si>
  <si>
    <t>22_11_2022</t>
  </si>
  <si>
    <t>flow_rate_m_3_day</t>
  </si>
  <si>
    <t>29_11_2022</t>
  </si>
  <si>
    <t>percentage_ESBL_Ec2</t>
  </si>
  <si>
    <t>percentage_ESBL_Ec1</t>
  </si>
  <si>
    <t>loads_ESBL_Ec1</t>
  </si>
  <si>
    <t>loads_tot_Ec1</t>
  </si>
  <si>
    <t>loads_tot_Ec2</t>
  </si>
  <si>
    <t>loads_ESBL_Ec2</t>
  </si>
  <si>
    <t>Precipitations_96h_4d_sum_mm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</si>
</sst>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DDFB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B"/>
      <color rgb="FFFFAFFF"/>
      <color rgb="FF9BC2E7"/>
      <color rgb="FFFF909A"/>
      <color rgb="FFB4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7"/>
  <sheetViews>
    <sheetView tabSelected="1" zoomScale="87" zoomScaleNormal="87" workbookViewId="0">
      <selection activeCell="U12" sqref="U12"/>
    </sheetView>
  </sheetViews>
  <sheetFormatPr baseColWidth="10" defaultColWidth="8.83203125" defaultRowHeight="15" x14ac:dyDescent="0.2"/>
  <cols>
    <col min="1" max="1" width="10.83203125" style="1" bestFit="1" customWidth="1"/>
    <col min="2" max="2" width="9.5" style="1" bestFit="1" customWidth="1"/>
    <col min="3" max="3" width="9.5" style="1" customWidth="1"/>
    <col min="4" max="4" width="12.6640625" style="1" bestFit="1" customWidth="1"/>
    <col min="5" max="5" width="26.83203125" style="1" bestFit="1" customWidth="1"/>
    <col min="6" max="6" width="23.83203125" style="1" bestFit="1" customWidth="1"/>
    <col min="7" max="7" width="15.83203125" style="2" bestFit="1" customWidth="1"/>
    <col min="8" max="8" width="17.83203125" style="2" bestFit="1" customWidth="1"/>
    <col min="9" max="9" width="15.5" style="2" bestFit="1" customWidth="1"/>
    <col min="10" max="10" width="17.5" style="2" bestFit="1" customWidth="1"/>
    <col min="11" max="11" width="14.83203125" style="1" bestFit="1" customWidth="1"/>
    <col min="12" max="12" width="17" style="1" bestFit="1" customWidth="1"/>
    <col min="13" max="13" width="16.83203125" style="5" bestFit="1" customWidth="1"/>
    <col min="14" max="15" width="23.33203125" style="1" bestFit="1" customWidth="1"/>
    <col min="16" max="17" width="24.5" style="1" bestFit="1" customWidth="1"/>
    <col min="18" max="16384" width="8.83203125" style="1"/>
  </cols>
  <sheetData>
    <row r="1" spans="1:17" x14ac:dyDescent="0.2">
      <c r="A1" s="1" t="s">
        <v>0</v>
      </c>
      <c r="B1" s="1" t="s">
        <v>1</v>
      </c>
      <c r="C1" s="1" t="s">
        <v>42</v>
      </c>
      <c r="D1" s="1" t="s">
        <v>39</v>
      </c>
      <c r="E1" s="1" t="s">
        <v>74</v>
      </c>
      <c r="F1" s="1" t="s">
        <v>38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69</v>
      </c>
      <c r="L1" s="2" t="s">
        <v>68</v>
      </c>
      <c r="M1" s="5" t="s">
        <v>66</v>
      </c>
      <c r="N1" s="2" t="s">
        <v>71</v>
      </c>
      <c r="O1" s="2" t="s">
        <v>72</v>
      </c>
      <c r="P1" s="2" t="s">
        <v>70</v>
      </c>
      <c r="Q1" s="2" t="s">
        <v>73</v>
      </c>
    </row>
    <row r="2" spans="1:17" x14ac:dyDescent="0.2">
      <c r="A2" s="1" t="s">
        <v>21</v>
      </c>
      <c r="B2" s="1" t="s">
        <v>7</v>
      </c>
      <c r="C2" s="1">
        <v>64000</v>
      </c>
      <c r="D2" s="1">
        <v>5.8</v>
      </c>
      <c r="E2" s="1">
        <v>7.4</v>
      </c>
      <c r="F2" s="1">
        <v>0</v>
      </c>
      <c r="G2" s="2">
        <v>4800000</v>
      </c>
      <c r="H2" s="2" t="s">
        <v>8</v>
      </c>
      <c r="I2" s="2">
        <v>42000</v>
      </c>
      <c r="J2" s="2" t="s">
        <v>8</v>
      </c>
      <c r="K2" s="1">
        <v>0.87500000000000011</v>
      </c>
      <c r="L2" s="1" t="s">
        <v>8</v>
      </c>
      <c r="M2" s="5">
        <v>18036.294969999999</v>
      </c>
      <c r="N2" s="1">
        <f>G2*10^4*M2/C2</f>
        <v>13527221227.5</v>
      </c>
      <c r="O2" s="1" t="s">
        <v>8</v>
      </c>
      <c r="P2" s="1">
        <f>I2*10000*M2/C2</f>
        <v>118363185.74062499</v>
      </c>
      <c r="Q2" s="1" t="s">
        <v>8</v>
      </c>
    </row>
    <row r="3" spans="1:17" x14ac:dyDescent="0.2">
      <c r="A3" s="1" t="s">
        <v>21</v>
      </c>
      <c r="B3" s="1" t="s">
        <v>9</v>
      </c>
      <c r="C3" s="1">
        <v>55000</v>
      </c>
      <c r="D3" s="1">
        <v>5.0999999999999996</v>
      </c>
      <c r="E3" s="1">
        <v>22.4</v>
      </c>
      <c r="F3" s="1">
        <v>0</v>
      </c>
      <c r="G3" s="2">
        <v>3300000</v>
      </c>
      <c r="H3" s="2" t="s">
        <v>8</v>
      </c>
      <c r="I3" s="2">
        <v>40000</v>
      </c>
      <c r="J3" s="2" t="s">
        <v>8</v>
      </c>
      <c r="K3" s="1">
        <f t="shared" ref="K3:K33" si="0">I3/G3*100</f>
        <v>1.2121212121212122</v>
      </c>
      <c r="L3" s="1" t="s">
        <v>8</v>
      </c>
      <c r="M3" s="5">
        <v>12167</v>
      </c>
      <c r="N3" s="1">
        <f t="shared" ref="N3:N66" si="1">G3*10^4*M3/C3</f>
        <v>7300200000</v>
      </c>
      <c r="O3" s="1" t="s">
        <v>8</v>
      </c>
      <c r="P3" s="1">
        <f>I3*10000*M3/C3</f>
        <v>88487272.727272734</v>
      </c>
      <c r="Q3" s="1" t="s">
        <v>8</v>
      </c>
    </row>
    <row r="4" spans="1:17" x14ac:dyDescent="0.2">
      <c r="A4" s="1" t="s">
        <v>21</v>
      </c>
      <c r="B4" s="1" t="s">
        <v>10</v>
      </c>
      <c r="C4" s="1">
        <v>454000</v>
      </c>
      <c r="D4" s="1">
        <v>7.3</v>
      </c>
      <c r="E4" s="1">
        <v>0.7</v>
      </c>
      <c r="F4" s="1">
        <v>0</v>
      </c>
      <c r="G4" s="2">
        <v>3500000</v>
      </c>
      <c r="H4" s="2" t="s">
        <v>8</v>
      </c>
      <c r="I4" s="2">
        <v>39000</v>
      </c>
      <c r="J4" s="2" t="s">
        <v>8</v>
      </c>
      <c r="K4" s="1">
        <f t="shared" si="0"/>
        <v>1.1142857142857143</v>
      </c>
      <c r="L4" s="1" t="s">
        <v>8</v>
      </c>
      <c r="M4" s="5">
        <v>144911</v>
      </c>
      <c r="N4" s="1">
        <f t="shared" si="1"/>
        <v>11171552863.436123</v>
      </c>
      <c r="O4" s="1" t="s">
        <v>8</v>
      </c>
      <c r="P4" s="1">
        <f t="shared" ref="P4:P67" si="2">I4*10000*M4/C4</f>
        <v>124483017.62114537</v>
      </c>
      <c r="Q4" s="1" t="s">
        <v>8</v>
      </c>
    </row>
    <row r="5" spans="1:17" x14ac:dyDescent="0.2">
      <c r="A5" s="1" t="s">
        <v>21</v>
      </c>
      <c r="B5" s="1" t="s">
        <v>11</v>
      </c>
      <c r="C5" s="1">
        <v>62000</v>
      </c>
      <c r="D5" s="1">
        <v>6.1</v>
      </c>
      <c r="E5" s="1">
        <v>2.2000000000000002</v>
      </c>
      <c r="F5" s="1">
        <v>0</v>
      </c>
      <c r="G5" s="2">
        <v>3400000</v>
      </c>
      <c r="H5" s="2" t="s">
        <v>8</v>
      </c>
      <c r="I5" s="2">
        <v>60000</v>
      </c>
      <c r="J5" s="2" t="s">
        <v>8</v>
      </c>
      <c r="K5" s="1">
        <f t="shared" si="0"/>
        <v>1.7647058823529411</v>
      </c>
      <c r="L5" s="1" t="s">
        <v>8</v>
      </c>
      <c r="M5" s="5">
        <v>18420</v>
      </c>
      <c r="N5" s="1">
        <f t="shared" si="1"/>
        <v>10101290322.580645</v>
      </c>
      <c r="O5" s="1" t="s">
        <v>8</v>
      </c>
      <c r="P5" s="1">
        <f t="shared" si="2"/>
        <v>178258064.51612905</v>
      </c>
      <c r="Q5" s="1" t="s">
        <v>8</v>
      </c>
    </row>
    <row r="6" spans="1:17" x14ac:dyDescent="0.2">
      <c r="A6" s="1" t="s">
        <v>21</v>
      </c>
      <c r="B6" s="1" t="s">
        <v>12</v>
      </c>
      <c r="C6" s="1">
        <v>124000</v>
      </c>
      <c r="D6" s="1">
        <v>10.199999999999999</v>
      </c>
      <c r="E6" s="1">
        <v>23.7</v>
      </c>
      <c r="F6" s="1">
        <v>1.2</v>
      </c>
      <c r="G6" s="2">
        <v>6400000</v>
      </c>
      <c r="H6" s="2" t="s">
        <v>8</v>
      </c>
      <c r="I6" s="2">
        <v>45000</v>
      </c>
      <c r="J6" s="2" t="s">
        <v>8</v>
      </c>
      <c r="K6" s="1">
        <f t="shared" si="0"/>
        <v>0.703125</v>
      </c>
      <c r="L6" s="1" t="s">
        <v>8</v>
      </c>
      <c r="M6" s="5">
        <v>35200</v>
      </c>
      <c r="N6" s="1">
        <f t="shared" si="1"/>
        <v>18167741935.483871</v>
      </c>
      <c r="O6" s="1" t="s">
        <v>8</v>
      </c>
      <c r="P6" s="1">
        <f t="shared" si="2"/>
        <v>127741935.48387097</v>
      </c>
      <c r="Q6" s="1" t="s">
        <v>8</v>
      </c>
    </row>
    <row r="7" spans="1:17" x14ac:dyDescent="0.2">
      <c r="A7" s="1" t="s">
        <v>21</v>
      </c>
      <c r="B7" s="1" t="s">
        <v>32</v>
      </c>
      <c r="C7" s="1">
        <v>471000</v>
      </c>
      <c r="D7" s="1">
        <v>5.2</v>
      </c>
      <c r="E7" s="1">
        <v>3.6</v>
      </c>
      <c r="F7" s="1">
        <v>0</v>
      </c>
      <c r="G7" s="2">
        <v>3500000</v>
      </c>
      <c r="H7" s="2" t="s">
        <v>8</v>
      </c>
      <c r="I7" s="2">
        <v>49000</v>
      </c>
      <c r="J7" s="2" t="s">
        <v>8</v>
      </c>
      <c r="K7" s="1">
        <f t="shared" si="0"/>
        <v>1.4000000000000001</v>
      </c>
      <c r="L7" s="1" t="s">
        <v>8</v>
      </c>
      <c r="M7" s="5">
        <v>154702.37270000001</v>
      </c>
      <c r="N7" s="1">
        <f t="shared" si="1"/>
        <v>11495930030.785563</v>
      </c>
      <c r="O7" s="1" t="s">
        <v>8</v>
      </c>
      <c r="P7" s="1">
        <f t="shared" si="2"/>
        <v>160943020.43099788</v>
      </c>
      <c r="Q7" s="1" t="s">
        <v>8</v>
      </c>
    </row>
    <row r="8" spans="1:17" x14ac:dyDescent="0.2">
      <c r="A8" s="1" t="s">
        <v>26</v>
      </c>
      <c r="B8" s="1" t="s">
        <v>7</v>
      </c>
      <c r="C8" s="1">
        <v>64000</v>
      </c>
      <c r="D8" s="1">
        <v>5.5</v>
      </c>
      <c r="E8" s="1">
        <v>0</v>
      </c>
      <c r="F8" s="1">
        <v>0</v>
      </c>
      <c r="G8" s="2">
        <v>4000000</v>
      </c>
      <c r="H8" s="2" t="s">
        <v>8</v>
      </c>
      <c r="I8" s="2">
        <v>57000</v>
      </c>
      <c r="J8" s="2" t="s">
        <v>8</v>
      </c>
      <c r="K8" s="1">
        <f t="shared" si="0"/>
        <v>1.425</v>
      </c>
      <c r="L8" s="1" t="s">
        <v>8</v>
      </c>
      <c r="M8" s="5">
        <v>35266</v>
      </c>
      <c r="N8" s="1">
        <f t="shared" si="1"/>
        <v>22041250000</v>
      </c>
      <c r="O8" s="1" t="s">
        <v>8</v>
      </c>
      <c r="P8" s="1">
        <f t="shared" si="2"/>
        <v>314087812.5</v>
      </c>
      <c r="Q8" s="1" t="s">
        <v>8</v>
      </c>
    </row>
    <row r="9" spans="1:17" x14ac:dyDescent="0.2">
      <c r="A9" s="1" t="s">
        <v>26</v>
      </c>
      <c r="B9" s="1" t="s">
        <v>9</v>
      </c>
      <c r="C9" s="1">
        <v>55000</v>
      </c>
      <c r="D9" s="1">
        <v>4.4000000000000004</v>
      </c>
      <c r="E9" s="1">
        <v>1.1000000000000001</v>
      </c>
      <c r="F9" s="1">
        <v>0</v>
      </c>
      <c r="G9" s="2">
        <v>3500000</v>
      </c>
      <c r="H9" s="2" t="s">
        <v>8</v>
      </c>
      <c r="I9" s="2">
        <v>58000</v>
      </c>
      <c r="J9" s="2" t="s">
        <v>8</v>
      </c>
      <c r="K9" s="1">
        <f t="shared" si="0"/>
        <v>1.657142857142857</v>
      </c>
      <c r="L9" s="1" t="s">
        <v>8</v>
      </c>
      <c r="M9" s="5">
        <v>142930.9952</v>
      </c>
      <c r="N9" s="1">
        <f t="shared" si="1"/>
        <v>90956087854.545456</v>
      </c>
      <c r="O9" s="1" t="s">
        <v>8</v>
      </c>
      <c r="P9" s="1">
        <f t="shared" si="2"/>
        <v>1507272313.0181818</v>
      </c>
      <c r="Q9" s="1" t="s">
        <v>8</v>
      </c>
    </row>
    <row r="10" spans="1:17" x14ac:dyDescent="0.2">
      <c r="A10" s="1" t="s">
        <v>26</v>
      </c>
      <c r="B10" s="1" t="s">
        <v>10</v>
      </c>
      <c r="C10" s="1">
        <v>454000</v>
      </c>
      <c r="D10" s="1">
        <v>5.7</v>
      </c>
      <c r="E10" s="1">
        <v>0.3</v>
      </c>
      <c r="F10" s="1">
        <v>0</v>
      </c>
      <c r="G10" s="2">
        <v>3800000</v>
      </c>
      <c r="H10" s="2" t="s">
        <v>8</v>
      </c>
      <c r="I10" s="2">
        <v>60000</v>
      </c>
      <c r="J10" s="2" t="s">
        <v>8</v>
      </c>
      <c r="K10" s="1">
        <f t="shared" si="0"/>
        <v>1.5789473684210527</v>
      </c>
      <c r="L10" s="1" t="s">
        <v>8</v>
      </c>
      <c r="M10" s="5">
        <v>13924.18959</v>
      </c>
      <c r="N10" s="1">
        <f t="shared" si="1"/>
        <v>1165460802.6872246</v>
      </c>
      <c r="O10" s="1" t="s">
        <v>8</v>
      </c>
      <c r="P10" s="1">
        <f t="shared" si="2"/>
        <v>18402012.674008809</v>
      </c>
      <c r="Q10" s="1" t="s">
        <v>8</v>
      </c>
    </row>
    <row r="11" spans="1:17" x14ac:dyDescent="0.2">
      <c r="A11" s="1" t="s">
        <v>26</v>
      </c>
      <c r="B11" s="1" t="s">
        <v>11</v>
      </c>
      <c r="C11" s="1">
        <v>62000</v>
      </c>
      <c r="D11" s="1">
        <v>3.6</v>
      </c>
      <c r="E11" s="1">
        <v>0.3</v>
      </c>
      <c r="F11" s="1">
        <v>0</v>
      </c>
      <c r="G11" s="2">
        <v>2800000</v>
      </c>
      <c r="H11" s="2" t="s">
        <v>8</v>
      </c>
      <c r="I11" s="2">
        <v>56000</v>
      </c>
      <c r="J11" s="2" t="s">
        <v>8</v>
      </c>
      <c r="K11" s="1">
        <f t="shared" si="0"/>
        <v>2</v>
      </c>
      <c r="L11" s="1" t="s">
        <v>8</v>
      </c>
      <c r="M11" s="5">
        <v>17203</v>
      </c>
      <c r="N11" s="1">
        <f t="shared" si="1"/>
        <v>7769096774.1935482</v>
      </c>
      <c r="O11" s="1" t="s">
        <v>8</v>
      </c>
      <c r="P11" s="1">
        <f t="shared" si="2"/>
        <v>155381935.48387095</v>
      </c>
      <c r="Q11" s="1" t="s">
        <v>8</v>
      </c>
    </row>
    <row r="12" spans="1:17" x14ac:dyDescent="0.2">
      <c r="A12" s="1" t="s">
        <v>26</v>
      </c>
      <c r="B12" s="1" t="s">
        <v>12</v>
      </c>
      <c r="C12" s="1">
        <v>124000</v>
      </c>
      <c r="D12" s="1">
        <v>9.8000000000000007</v>
      </c>
      <c r="E12" s="1">
        <v>8.9</v>
      </c>
      <c r="F12" s="1">
        <v>0.5</v>
      </c>
      <c r="G12" s="2">
        <v>1000000</v>
      </c>
      <c r="H12" s="2" t="s">
        <v>8</v>
      </c>
      <c r="I12" s="2">
        <v>25000</v>
      </c>
      <c r="J12" s="2" t="s">
        <v>8</v>
      </c>
      <c r="K12" s="1">
        <f t="shared" si="0"/>
        <v>2.5</v>
      </c>
      <c r="L12" s="1" t="s">
        <v>8</v>
      </c>
      <c r="M12" s="5">
        <v>126578</v>
      </c>
      <c r="N12" s="1">
        <f t="shared" si="1"/>
        <v>10207903225.806452</v>
      </c>
      <c r="O12" s="1" t="s">
        <v>8</v>
      </c>
      <c r="P12" s="1">
        <f t="shared" si="2"/>
        <v>255197580.6451613</v>
      </c>
      <c r="Q12" s="1" t="s">
        <v>8</v>
      </c>
    </row>
    <row r="13" spans="1:17" x14ac:dyDescent="0.2">
      <c r="A13" s="1" t="s">
        <v>26</v>
      </c>
      <c r="B13" s="1" t="s">
        <v>32</v>
      </c>
      <c r="C13" s="1">
        <v>471000</v>
      </c>
      <c r="D13" s="1">
        <v>3.4</v>
      </c>
      <c r="E13" s="1">
        <v>1</v>
      </c>
      <c r="F13" s="1">
        <v>0</v>
      </c>
      <c r="G13" s="2">
        <v>2700000</v>
      </c>
      <c r="H13" s="2" t="s">
        <v>8</v>
      </c>
      <c r="I13" s="2">
        <v>61000</v>
      </c>
      <c r="J13" s="2" t="s">
        <v>8</v>
      </c>
      <c r="K13" s="1">
        <f t="shared" si="0"/>
        <v>2.2592592592592591</v>
      </c>
      <c r="L13" s="1" t="s">
        <v>8</v>
      </c>
      <c r="M13" s="5">
        <v>15924</v>
      </c>
      <c r="N13" s="1">
        <f t="shared" si="1"/>
        <v>912840764.33121014</v>
      </c>
      <c r="O13" s="1" t="s">
        <v>8</v>
      </c>
      <c r="P13" s="1">
        <f t="shared" si="2"/>
        <v>20623439.49044586</v>
      </c>
      <c r="Q13" s="1" t="s">
        <v>8</v>
      </c>
    </row>
    <row r="14" spans="1:17" x14ac:dyDescent="0.2">
      <c r="A14" s="1" t="s">
        <v>29</v>
      </c>
      <c r="B14" s="1" t="s">
        <v>7</v>
      </c>
      <c r="C14" s="1">
        <v>64000</v>
      </c>
      <c r="D14" s="1">
        <v>2.2000000000000002</v>
      </c>
      <c r="E14" s="1">
        <v>11.2</v>
      </c>
      <c r="F14" s="1">
        <v>5.9</v>
      </c>
      <c r="G14" s="2">
        <v>2600000</v>
      </c>
      <c r="H14" s="2" t="s">
        <v>8</v>
      </c>
      <c r="I14" s="2">
        <v>35000</v>
      </c>
      <c r="J14" s="2" t="s">
        <v>8</v>
      </c>
      <c r="K14" s="1">
        <f t="shared" si="0"/>
        <v>1.3461538461538463</v>
      </c>
      <c r="L14" s="1" t="s">
        <v>8</v>
      </c>
      <c r="M14" s="5">
        <v>35916</v>
      </c>
      <c r="N14" s="1">
        <f t="shared" si="1"/>
        <v>14590875000</v>
      </c>
      <c r="O14" s="1" t="s">
        <v>8</v>
      </c>
      <c r="P14" s="1">
        <f t="shared" si="2"/>
        <v>196415625</v>
      </c>
      <c r="Q14" s="1" t="s">
        <v>8</v>
      </c>
    </row>
    <row r="15" spans="1:17" x14ac:dyDescent="0.2">
      <c r="A15" s="1" t="s">
        <v>29</v>
      </c>
      <c r="B15" s="1" t="s">
        <v>9</v>
      </c>
      <c r="C15" s="1">
        <v>55000</v>
      </c>
      <c r="D15" s="1">
        <v>-0.5</v>
      </c>
      <c r="E15" s="1">
        <v>15.8</v>
      </c>
      <c r="F15" s="1">
        <v>4.2</v>
      </c>
      <c r="G15" s="2">
        <v>5100000</v>
      </c>
      <c r="H15" s="2" t="s">
        <v>8</v>
      </c>
      <c r="I15" s="2">
        <v>68000</v>
      </c>
      <c r="J15" s="2" t="s">
        <v>8</v>
      </c>
      <c r="K15" s="1">
        <f t="shared" si="0"/>
        <v>1.3333333333333335</v>
      </c>
      <c r="L15" s="1" t="s">
        <v>8</v>
      </c>
      <c r="M15" s="5">
        <v>168399.78520000001</v>
      </c>
      <c r="N15" s="1">
        <f t="shared" si="1"/>
        <v>156152528094.54547</v>
      </c>
      <c r="O15" s="1" t="s">
        <v>8</v>
      </c>
      <c r="P15" s="1">
        <f t="shared" si="2"/>
        <v>2082033707.927273</v>
      </c>
      <c r="Q15" s="1" t="s">
        <v>8</v>
      </c>
    </row>
    <row r="16" spans="1:17" x14ac:dyDescent="0.2">
      <c r="A16" s="1" t="s">
        <v>29</v>
      </c>
      <c r="B16" s="1" t="s">
        <v>10</v>
      </c>
      <c r="C16" s="1">
        <v>454000</v>
      </c>
      <c r="D16" s="1">
        <v>-0.3</v>
      </c>
      <c r="E16" s="1">
        <v>2.8</v>
      </c>
      <c r="F16" s="1">
        <v>0</v>
      </c>
      <c r="G16" s="2">
        <v>3400000</v>
      </c>
      <c r="H16" s="2" t="s">
        <v>8</v>
      </c>
      <c r="I16" s="2">
        <v>53000</v>
      </c>
      <c r="J16" s="2" t="s">
        <v>8</v>
      </c>
      <c r="K16" s="1">
        <f t="shared" si="0"/>
        <v>1.5588235294117647</v>
      </c>
      <c r="L16" s="1" t="s">
        <v>8</v>
      </c>
      <c r="M16" s="5">
        <v>30398.692309999999</v>
      </c>
      <c r="N16" s="1">
        <f t="shared" si="1"/>
        <v>2276554049.6475773</v>
      </c>
      <c r="O16" s="1" t="s">
        <v>8</v>
      </c>
      <c r="P16" s="1">
        <f t="shared" si="2"/>
        <v>35487460.185682818</v>
      </c>
      <c r="Q16" s="1" t="s">
        <v>8</v>
      </c>
    </row>
    <row r="17" spans="1:17" x14ac:dyDescent="0.2">
      <c r="A17" s="1" t="s">
        <v>29</v>
      </c>
      <c r="B17" s="1" t="s">
        <v>11</v>
      </c>
      <c r="C17" s="1">
        <v>62000</v>
      </c>
      <c r="D17" s="1">
        <v>1.1000000000000001</v>
      </c>
      <c r="E17" s="1">
        <v>2.9</v>
      </c>
      <c r="F17" s="1">
        <v>0.6</v>
      </c>
      <c r="G17" s="2">
        <v>2800000</v>
      </c>
      <c r="H17" s="2" t="s">
        <v>8</v>
      </c>
      <c r="I17" s="2">
        <v>25000</v>
      </c>
      <c r="J17" s="2" t="s">
        <v>8</v>
      </c>
      <c r="K17" s="1">
        <f t="shared" si="0"/>
        <v>0.89285714285714279</v>
      </c>
      <c r="L17" s="1" t="s">
        <v>8</v>
      </c>
      <c r="M17" s="5">
        <v>17686</v>
      </c>
      <c r="N17" s="1">
        <f t="shared" si="1"/>
        <v>7987225806.4516125</v>
      </c>
      <c r="O17" s="1" t="s">
        <v>8</v>
      </c>
      <c r="P17" s="1">
        <f t="shared" si="2"/>
        <v>71314516.129032254</v>
      </c>
      <c r="Q17" s="1" t="s">
        <v>8</v>
      </c>
    </row>
    <row r="18" spans="1:17" x14ac:dyDescent="0.2">
      <c r="A18" s="1" t="s">
        <v>29</v>
      </c>
      <c r="B18" s="1" t="s">
        <v>12</v>
      </c>
      <c r="C18" s="1">
        <v>124000</v>
      </c>
      <c r="D18" s="1">
        <v>4.0999999999999996</v>
      </c>
      <c r="E18" s="1">
        <v>31.1</v>
      </c>
      <c r="F18" s="1">
        <v>0</v>
      </c>
      <c r="G18" s="2">
        <v>1400000</v>
      </c>
      <c r="H18" s="2" t="s">
        <v>8</v>
      </c>
      <c r="I18" s="2">
        <v>70000</v>
      </c>
      <c r="J18" s="2" t="s">
        <v>8</v>
      </c>
      <c r="K18" s="1">
        <f t="shared" si="0"/>
        <v>5</v>
      </c>
      <c r="L18" s="1" t="s">
        <v>8</v>
      </c>
      <c r="M18" s="5">
        <v>53090</v>
      </c>
      <c r="N18" s="1">
        <f t="shared" si="1"/>
        <v>5994032258.0645161</v>
      </c>
      <c r="O18" s="1" t="s">
        <v>8</v>
      </c>
      <c r="P18" s="1">
        <f t="shared" si="2"/>
        <v>299701612.90322578</v>
      </c>
      <c r="Q18" s="1" t="s">
        <v>8</v>
      </c>
    </row>
    <row r="19" spans="1:17" x14ac:dyDescent="0.2">
      <c r="A19" s="1" t="s">
        <v>29</v>
      </c>
      <c r="B19" s="1" t="s">
        <v>32</v>
      </c>
      <c r="C19" s="1">
        <v>471000</v>
      </c>
      <c r="D19" s="1">
        <v>1.2</v>
      </c>
      <c r="E19" s="1">
        <v>6.1</v>
      </c>
      <c r="F19" s="1">
        <v>1.6</v>
      </c>
      <c r="G19" s="2">
        <v>3600000</v>
      </c>
      <c r="H19" s="2" t="s">
        <v>8</v>
      </c>
      <c r="I19" s="2">
        <v>42000</v>
      </c>
      <c r="J19" s="2" t="s">
        <v>8</v>
      </c>
      <c r="K19" s="1">
        <f t="shared" si="0"/>
        <v>1.1666666666666667</v>
      </c>
      <c r="L19" s="1" t="s">
        <v>8</v>
      </c>
      <c r="M19" s="5">
        <v>128666</v>
      </c>
      <c r="N19" s="1">
        <f t="shared" si="1"/>
        <v>9834343949.0445862</v>
      </c>
      <c r="O19" s="1" t="s">
        <v>8</v>
      </c>
      <c r="P19" s="1">
        <f t="shared" si="2"/>
        <v>114734012.7388535</v>
      </c>
      <c r="Q19" s="1" t="s">
        <v>8</v>
      </c>
    </row>
    <row r="20" spans="1:17" x14ac:dyDescent="0.2">
      <c r="A20" s="1" t="s">
        <v>30</v>
      </c>
      <c r="B20" s="1" t="s">
        <v>7</v>
      </c>
      <c r="C20" s="1">
        <v>64000</v>
      </c>
      <c r="D20" s="1">
        <v>3.3</v>
      </c>
      <c r="E20" s="1">
        <v>15.3</v>
      </c>
      <c r="F20" s="1">
        <v>5.7</v>
      </c>
      <c r="G20" s="2">
        <v>1900000</v>
      </c>
      <c r="H20" s="2" t="s">
        <v>8</v>
      </c>
      <c r="I20" s="2">
        <v>40000</v>
      </c>
      <c r="J20" s="2" t="s">
        <v>8</v>
      </c>
      <c r="K20" s="1">
        <f t="shared" si="0"/>
        <v>2.1052631578947367</v>
      </c>
      <c r="L20" s="1" t="s">
        <v>8</v>
      </c>
      <c r="M20" s="5">
        <v>34294</v>
      </c>
      <c r="N20" s="1">
        <f t="shared" si="1"/>
        <v>10181031250</v>
      </c>
      <c r="O20" s="1" t="s">
        <v>8</v>
      </c>
      <c r="P20" s="1">
        <f t="shared" si="2"/>
        <v>214337500</v>
      </c>
      <c r="Q20" s="1" t="s">
        <v>8</v>
      </c>
    </row>
    <row r="21" spans="1:17" x14ac:dyDescent="0.2">
      <c r="A21" s="1" t="s">
        <v>30</v>
      </c>
      <c r="B21" s="1" t="s">
        <v>12</v>
      </c>
      <c r="C21" s="1">
        <v>124000</v>
      </c>
      <c r="D21" s="1">
        <v>4.8</v>
      </c>
      <c r="E21" s="1">
        <v>0</v>
      </c>
      <c r="F21" s="1">
        <v>0</v>
      </c>
      <c r="G21" s="2">
        <v>1400000</v>
      </c>
      <c r="H21" s="2" t="s">
        <v>8</v>
      </c>
      <c r="I21" s="2">
        <v>24000</v>
      </c>
      <c r="J21" s="2" t="s">
        <v>8</v>
      </c>
      <c r="K21" s="1">
        <f t="shared" si="0"/>
        <v>1.7142857142857144</v>
      </c>
      <c r="L21" s="1" t="s">
        <v>8</v>
      </c>
      <c r="M21" s="5">
        <v>42842</v>
      </c>
      <c r="N21" s="1">
        <f t="shared" si="1"/>
        <v>4837000000</v>
      </c>
      <c r="O21" s="1" t="s">
        <v>8</v>
      </c>
      <c r="P21" s="1">
        <f t="shared" si="2"/>
        <v>82920000</v>
      </c>
      <c r="Q21" s="1" t="s">
        <v>8</v>
      </c>
    </row>
    <row r="22" spans="1:17" x14ac:dyDescent="0.2">
      <c r="A22" s="1" t="s">
        <v>30</v>
      </c>
      <c r="B22" s="1" t="s">
        <v>9</v>
      </c>
      <c r="C22" s="1">
        <v>55000</v>
      </c>
      <c r="D22" s="1">
        <v>0</v>
      </c>
      <c r="E22" s="1">
        <v>4.4000000000000004</v>
      </c>
      <c r="F22" s="1">
        <v>0.8</v>
      </c>
      <c r="G22" s="2">
        <v>8300000</v>
      </c>
      <c r="H22" s="2" t="s">
        <v>8</v>
      </c>
      <c r="I22" s="2">
        <v>55000</v>
      </c>
      <c r="J22" s="2" t="s">
        <v>8</v>
      </c>
      <c r="K22" s="1">
        <f t="shared" si="0"/>
        <v>0.66265060240963858</v>
      </c>
      <c r="L22" s="1" t="s">
        <v>8</v>
      </c>
      <c r="M22" s="5">
        <v>14763</v>
      </c>
      <c r="N22" s="1">
        <f t="shared" si="1"/>
        <v>22278709090.909092</v>
      </c>
      <c r="O22" s="1" t="s">
        <v>8</v>
      </c>
      <c r="P22" s="1">
        <f t="shared" si="2"/>
        <v>147630000</v>
      </c>
      <c r="Q22" s="1" t="s">
        <v>8</v>
      </c>
    </row>
    <row r="23" spans="1:17" x14ac:dyDescent="0.2">
      <c r="A23" s="1" t="s">
        <v>30</v>
      </c>
      <c r="B23" s="1" t="s">
        <v>10</v>
      </c>
      <c r="C23" s="1">
        <v>454000</v>
      </c>
      <c r="D23" s="1">
        <v>2.9</v>
      </c>
      <c r="E23" s="1">
        <v>25.1</v>
      </c>
      <c r="F23" s="1">
        <v>9.1</v>
      </c>
      <c r="G23" s="2">
        <v>2900000</v>
      </c>
      <c r="H23" s="2" t="s">
        <v>8</v>
      </c>
      <c r="I23" s="2">
        <v>60000</v>
      </c>
      <c r="J23" s="2" t="s">
        <v>8</v>
      </c>
      <c r="K23" s="1">
        <f t="shared" si="0"/>
        <v>2.0689655172413794</v>
      </c>
      <c r="L23" s="1" t="s">
        <v>8</v>
      </c>
      <c r="M23" s="5">
        <v>187444</v>
      </c>
      <c r="N23" s="1">
        <f t="shared" si="1"/>
        <v>11973295154.185022</v>
      </c>
      <c r="O23" s="1" t="s">
        <v>8</v>
      </c>
      <c r="P23" s="1">
        <f t="shared" si="2"/>
        <v>247723348.01762116</v>
      </c>
      <c r="Q23" s="1" t="s">
        <v>8</v>
      </c>
    </row>
    <row r="24" spans="1:17" x14ac:dyDescent="0.2">
      <c r="A24" s="1" t="s">
        <v>30</v>
      </c>
      <c r="B24" s="1" t="s">
        <v>11</v>
      </c>
      <c r="C24" s="1">
        <v>620000</v>
      </c>
      <c r="D24" s="1">
        <v>1.7</v>
      </c>
      <c r="E24" s="1">
        <v>31.2</v>
      </c>
      <c r="F24" s="1">
        <v>8.9</v>
      </c>
      <c r="G24" s="2">
        <v>3000000</v>
      </c>
      <c r="H24" s="2" t="s">
        <v>8</v>
      </c>
      <c r="I24" s="2">
        <v>34000</v>
      </c>
      <c r="J24" s="2" t="s">
        <v>8</v>
      </c>
      <c r="K24" s="1">
        <f t="shared" si="0"/>
        <v>1.1333333333333333</v>
      </c>
      <c r="L24" s="1" t="s">
        <v>8</v>
      </c>
      <c r="M24" s="5">
        <v>26911</v>
      </c>
      <c r="N24" s="1">
        <f t="shared" si="1"/>
        <v>1302145161.2903225</v>
      </c>
      <c r="O24" s="1" t="s">
        <v>8</v>
      </c>
      <c r="P24" s="1">
        <f t="shared" si="2"/>
        <v>14757645.161290323</v>
      </c>
      <c r="Q24" s="1" t="s">
        <v>8</v>
      </c>
    </row>
    <row r="25" spans="1:17" x14ac:dyDescent="0.2">
      <c r="A25" s="1" t="s">
        <v>30</v>
      </c>
      <c r="B25" s="1" t="s">
        <v>32</v>
      </c>
      <c r="C25" s="1">
        <v>471000</v>
      </c>
      <c r="D25" s="1">
        <v>1.7</v>
      </c>
      <c r="E25" s="1">
        <v>23</v>
      </c>
      <c r="F25" s="1">
        <v>8.1999999999999993</v>
      </c>
      <c r="G25" s="2">
        <v>3100000</v>
      </c>
      <c r="H25" s="2" t="s">
        <v>8</v>
      </c>
      <c r="I25" s="2">
        <v>60000</v>
      </c>
      <c r="J25" s="2" t="s">
        <v>8</v>
      </c>
      <c r="K25" s="1">
        <f t="shared" si="0"/>
        <v>1.935483870967742</v>
      </c>
      <c r="L25" s="1" t="s">
        <v>8</v>
      </c>
      <c r="M25" s="5">
        <v>328841.86</v>
      </c>
      <c r="N25" s="1">
        <f t="shared" si="1"/>
        <v>21643519447.983013</v>
      </c>
      <c r="O25" s="1" t="s">
        <v>8</v>
      </c>
      <c r="P25" s="1">
        <f t="shared" si="2"/>
        <v>418906828.02547771</v>
      </c>
      <c r="Q25" s="1" t="s">
        <v>8</v>
      </c>
    </row>
    <row r="26" spans="1:17" x14ac:dyDescent="0.2">
      <c r="A26" s="1" t="s">
        <v>18</v>
      </c>
      <c r="B26" s="1" t="s">
        <v>7</v>
      </c>
      <c r="C26" s="1">
        <v>64000</v>
      </c>
      <c r="D26" s="1">
        <v>2.8</v>
      </c>
      <c r="E26" s="1">
        <v>0.7</v>
      </c>
      <c r="F26" s="1">
        <v>0</v>
      </c>
      <c r="G26" s="2">
        <v>5500000</v>
      </c>
      <c r="H26" s="2" t="s">
        <v>8</v>
      </c>
      <c r="I26" s="2">
        <v>76000</v>
      </c>
      <c r="J26" s="2" t="s">
        <v>8</v>
      </c>
      <c r="K26" s="1">
        <f t="shared" si="0"/>
        <v>1.3818181818181818</v>
      </c>
      <c r="L26" s="1" t="s">
        <v>8</v>
      </c>
      <c r="M26" s="5">
        <v>21817.38954</v>
      </c>
      <c r="N26" s="1">
        <f t="shared" si="1"/>
        <v>18749319135.9375</v>
      </c>
      <c r="O26" s="1" t="s">
        <v>8</v>
      </c>
      <c r="P26" s="1">
        <f t="shared" si="2"/>
        <v>259081500.78749999</v>
      </c>
      <c r="Q26" s="1" t="s">
        <v>8</v>
      </c>
    </row>
    <row r="27" spans="1:17" x14ac:dyDescent="0.2">
      <c r="A27" s="1" t="s">
        <v>18</v>
      </c>
      <c r="B27" s="1" t="s">
        <v>9</v>
      </c>
      <c r="C27" s="1">
        <v>55000</v>
      </c>
      <c r="D27" s="1">
        <v>3.2</v>
      </c>
      <c r="E27" s="1">
        <v>0.5</v>
      </c>
      <c r="F27" s="1">
        <v>0</v>
      </c>
      <c r="G27" s="2">
        <v>10600000</v>
      </c>
      <c r="H27" s="2" t="s">
        <v>8</v>
      </c>
      <c r="I27" s="2">
        <v>91000</v>
      </c>
      <c r="J27" s="2" t="s">
        <v>8</v>
      </c>
      <c r="K27" s="1">
        <f t="shared" si="0"/>
        <v>0.85849056603773588</v>
      </c>
      <c r="L27" s="1" t="s">
        <v>8</v>
      </c>
      <c r="M27" s="5">
        <v>18633</v>
      </c>
      <c r="N27" s="1">
        <f t="shared" si="1"/>
        <v>35910872727.272728</v>
      </c>
      <c r="O27" s="1" t="s">
        <v>8</v>
      </c>
      <c r="P27" s="1">
        <f t="shared" si="2"/>
        <v>308291454.54545456</v>
      </c>
      <c r="Q27" s="1" t="s">
        <v>8</v>
      </c>
    </row>
    <row r="28" spans="1:17" x14ac:dyDescent="0.2">
      <c r="A28" s="1" t="s">
        <v>18</v>
      </c>
      <c r="B28" s="1" t="s">
        <v>10</v>
      </c>
      <c r="C28" s="1">
        <v>454000</v>
      </c>
      <c r="D28" s="1">
        <v>1.5</v>
      </c>
      <c r="E28" s="1">
        <v>0.1</v>
      </c>
      <c r="F28" s="1">
        <v>0</v>
      </c>
      <c r="G28" s="2">
        <v>7400000</v>
      </c>
      <c r="H28" s="2" t="s">
        <v>8</v>
      </c>
      <c r="I28" s="2">
        <v>91000</v>
      </c>
      <c r="J28" s="2" t="s">
        <v>8</v>
      </c>
      <c r="K28" s="1">
        <f t="shared" si="0"/>
        <v>1.2297297297297296</v>
      </c>
      <c r="L28" s="1" t="s">
        <v>8</v>
      </c>
      <c r="M28" s="5">
        <v>137205</v>
      </c>
      <c r="N28" s="1">
        <f t="shared" si="1"/>
        <v>22363810572.687225</v>
      </c>
      <c r="O28" s="1" t="s">
        <v>8</v>
      </c>
      <c r="P28" s="1">
        <f t="shared" si="2"/>
        <v>275014427.31277531</v>
      </c>
      <c r="Q28" s="1" t="s">
        <v>8</v>
      </c>
    </row>
    <row r="29" spans="1:17" x14ac:dyDescent="0.2">
      <c r="A29" s="1" t="s">
        <v>18</v>
      </c>
      <c r="B29" s="1" t="s">
        <v>11</v>
      </c>
      <c r="C29" s="1">
        <v>62000</v>
      </c>
      <c r="D29" s="1">
        <v>-1.8</v>
      </c>
      <c r="E29" s="1">
        <v>0.5</v>
      </c>
      <c r="F29" s="1">
        <v>0</v>
      </c>
      <c r="G29" s="2">
        <v>6300000</v>
      </c>
      <c r="H29" s="2" t="s">
        <v>8</v>
      </c>
      <c r="I29" s="2">
        <v>43000</v>
      </c>
      <c r="J29" s="2" t="s">
        <v>8</v>
      </c>
      <c r="K29" s="1">
        <f t="shared" si="0"/>
        <v>0.68253968253968256</v>
      </c>
      <c r="L29" s="1" t="s">
        <v>8</v>
      </c>
      <c r="M29" s="5">
        <v>23284</v>
      </c>
      <c r="N29" s="1">
        <f t="shared" si="1"/>
        <v>23659548387.096775</v>
      </c>
      <c r="O29" s="1" t="s">
        <v>8</v>
      </c>
      <c r="P29" s="1">
        <f t="shared" si="2"/>
        <v>161485806.45161289</v>
      </c>
      <c r="Q29" s="1" t="s">
        <v>8</v>
      </c>
    </row>
    <row r="30" spans="1:17" x14ac:dyDescent="0.2">
      <c r="A30" s="1" t="s">
        <v>18</v>
      </c>
      <c r="B30" s="1" t="s">
        <v>12</v>
      </c>
      <c r="C30" s="1">
        <v>124000</v>
      </c>
      <c r="D30" s="1">
        <v>4.9000000000000004</v>
      </c>
      <c r="E30" s="1">
        <v>0</v>
      </c>
      <c r="F30" s="1">
        <v>0</v>
      </c>
      <c r="G30" s="2">
        <v>3100000</v>
      </c>
      <c r="H30" s="2" t="s">
        <v>8</v>
      </c>
      <c r="I30" s="2">
        <v>73000</v>
      </c>
      <c r="J30" s="2" t="s">
        <v>8</v>
      </c>
      <c r="K30" s="1">
        <f t="shared" si="0"/>
        <v>2.3548387096774195</v>
      </c>
      <c r="L30" s="1" t="s">
        <v>8</v>
      </c>
      <c r="M30" s="5">
        <v>51591</v>
      </c>
      <c r="N30" s="1">
        <f t="shared" si="1"/>
        <v>12897750000</v>
      </c>
      <c r="O30" s="1" t="s">
        <v>8</v>
      </c>
      <c r="P30" s="1">
        <f t="shared" si="2"/>
        <v>303721209.67741936</v>
      </c>
      <c r="Q30" s="1" t="s">
        <v>8</v>
      </c>
    </row>
    <row r="31" spans="1:17" x14ac:dyDescent="0.2">
      <c r="A31" s="1" t="s">
        <v>18</v>
      </c>
      <c r="B31" s="1" t="s">
        <v>32</v>
      </c>
      <c r="C31" s="1">
        <v>471000</v>
      </c>
      <c r="D31" s="1">
        <v>1.1000000000000001</v>
      </c>
      <c r="E31" s="1">
        <v>1.1000000000000001</v>
      </c>
      <c r="F31" s="1">
        <v>0</v>
      </c>
      <c r="G31" s="2">
        <v>5800000</v>
      </c>
      <c r="H31" s="2" t="s">
        <v>8</v>
      </c>
      <c r="I31" s="2">
        <v>82000</v>
      </c>
      <c r="J31" s="2" t="s">
        <v>8</v>
      </c>
      <c r="K31" s="1">
        <f t="shared" si="0"/>
        <v>1.4137931034482758</v>
      </c>
      <c r="L31" s="1" t="s">
        <v>8</v>
      </c>
      <c r="M31" s="5">
        <v>229932.24</v>
      </c>
      <c r="N31" s="1">
        <f t="shared" si="1"/>
        <v>28314373503.184715</v>
      </c>
      <c r="O31" s="1" t="s">
        <v>8</v>
      </c>
      <c r="P31" s="1">
        <f t="shared" si="2"/>
        <v>400306659.87261146</v>
      </c>
      <c r="Q31" s="1" t="s">
        <v>8</v>
      </c>
    </row>
    <row r="32" spans="1:17" x14ac:dyDescent="0.2">
      <c r="A32" s="1" t="s">
        <v>22</v>
      </c>
      <c r="B32" s="1" t="s">
        <v>7</v>
      </c>
      <c r="C32" s="1">
        <v>64000</v>
      </c>
      <c r="D32" s="1">
        <v>1.5</v>
      </c>
      <c r="E32" s="1">
        <v>0.5</v>
      </c>
      <c r="F32" s="1">
        <v>0</v>
      </c>
      <c r="G32" s="2">
        <v>8200000</v>
      </c>
      <c r="H32" s="2" t="s">
        <v>8</v>
      </c>
      <c r="I32" s="2">
        <v>78000</v>
      </c>
      <c r="J32" s="2" t="s">
        <v>8</v>
      </c>
      <c r="K32" s="1">
        <f t="shared" si="0"/>
        <v>0.95121951219512191</v>
      </c>
      <c r="L32" s="1" t="s">
        <v>8</v>
      </c>
      <c r="M32" s="5">
        <v>18459.4882</v>
      </c>
      <c r="N32" s="1">
        <f t="shared" si="1"/>
        <v>23651219256.25</v>
      </c>
      <c r="O32" s="1" t="s">
        <v>8</v>
      </c>
      <c r="P32" s="1">
        <f t="shared" si="2"/>
        <v>224975012.4375</v>
      </c>
      <c r="Q32" s="1" t="s">
        <v>8</v>
      </c>
    </row>
    <row r="33" spans="1:17" x14ac:dyDescent="0.2">
      <c r="A33" s="1" t="s">
        <v>22</v>
      </c>
      <c r="B33" s="1" t="s">
        <v>9</v>
      </c>
      <c r="C33" s="1">
        <v>55000</v>
      </c>
      <c r="D33" s="1">
        <v>0.8</v>
      </c>
      <c r="E33" s="1">
        <v>0</v>
      </c>
      <c r="F33" s="1">
        <v>0</v>
      </c>
      <c r="G33" s="2">
        <v>9600000</v>
      </c>
      <c r="H33" s="2" t="s">
        <v>8</v>
      </c>
      <c r="I33" s="2">
        <v>75000</v>
      </c>
      <c r="J33" s="2" t="s">
        <v>8</v>
      </c>
      <c r="K33" s="1">
        <f t="shared" si="0"/>
        <v>0.78125</v>
      </c>
      <c r="L33" s="1" t="s">
        <v>8</v>
      </c>
      <c r="M33" s="5">
        <v>18726</v>
      </c>
      <c r="N33" s="1">
        <f t="shared" si="1"/>
        <v>32685381818.18182</v>
      </c>
      <c r="O33" s="1" t="s">
        <v>8</v>
      </c>
      <c r="P33" s="1">
        <f t="shared" si="2"/>
        <v>255354545.45454547</v>
      </c>
      <c r="Q33" s="1" t="s">
        <v>8</v>
      </c>
    </row>
    <row r="34" spans="1:17" x14ac:dyDescent="0.2">
      <c r="A34" s="1" t="s">
        <v>22</v>
      </c>
      <c r="B34" s="1" t="s">
        <v>10</v>
      </c>
      <c r="C34" s="1">
        <v>454000</v>
      </c>
      <c r="D34" s="1">
        <v>3.8</v>
      </c>
      <c r="E34" s="1">
        <v>0</v>
      </c>
      <c r="F34" s="1">
        <v>0</v>
      </c>
      <c r="G34" s="2">
        <v>3900000</v>
      </c>
      <c r="H34" s="2" t="s">
        <v>8</v>
      </c>
      <c r="I34" s="2">
        <v>101000</v>
      </c>
      <c r="J34" s="2" t="s">
        <v>8</v>
      </c>
      <c r="K34" s="1">
        <f t="shared" ref="K34:K65" si="3">I34/G34*100</f>
        <v>2.5897435897435894</v>
      </c>
      <c r="L34" s="1" t="s">
        <v>8</v>
      </c>
      <c r="M34" s="5">
        <v>152866</v>
      </c>
      <c r="N34" s="1">
        <f t="shared" si="1"/>
        <v>13131660792.951542</v>
      </c>
      <c r="O34" s="1" t="s">
        <v>8</v>
      </c>
      <c r="P34" s="1">
        <f t="shared" si="2"/>
        <v>340076343.61233479</v>
      </c>
      <c r="Q34" s="1" t="s">
        <v>8</v>
      </c>
    </row>
    <row r="35" spans="1:17" x14ac:dyDescent="0.2">
      <c r="A35" s="1" t="s">
        <v>22</v>
      </c>
      <c r="B35" s="1" t="s">
        <v>11</v>
      </c>
      <c r="C35" s="1">
        <v>62000</v>
      </c>
      <c r="D35" s="1">
        <v>1.2</v>
      </c>
      <c r="E35" s="1">
        <v>0</v>
      </c>
      <c r="F35" s="1">
        <v>0</v>
      </c>
      <c r="G35" s="2">
        <v>8100000</v>
      </c>
      <c r="H35" s="2" t="s">
        <v>8</v>
      </c>
      <c r="I35" s="2">
        <v>61000</v>
      </c>
      <c r="J35" s="2" t="s">
        <v>8</v>
      </c>
      <c r="K35" s="1">
        <f t="shared" si="3"/>
        <v>0.75308641975308643</v>
      </c>
      <c r="L35" s="1" t="s">
        <v>8</v>
      </c>
      <c r="M35" s="5">
        <v>22084</v>
      </c>
      <c r="N35" s="1">
        <f t="shared" si="1"/>
        <v>28851677419.354839</v>
      </c>
      <c r="O35" s="1" t="s">
        <v>8</v>
      </c>
      <c r="P35" s="1">
        <f t="shared" si="2"/>
        <v>217278064.51612905</v>
      </c>
      <c r="Q35" s="1" t="s">
        <v>8</v>
      </c>
    </row>
    <row r="36" spans="1:17" x14ac:dyDescent="0.2">
      <c r="A36" s="1" t="s">
        <v>22</v>
      </c>
      <c r="B36" s="1" t="s">
        <v>12</v>
      </c>
      <c r="C36" s="1">
        <v>124000</v>
      </c>
      <c r="D36" s="1">
        <v>8.3000000000000007</v>
      </c>
      <c r="E36" s="1">
        <v>0</v>
      </c>
      <c r="F36" s="1">
        <v>0</v>
      </c>
      <c r="G36" s="2">
        <v>2500000</v>
      </c>
      <c r="H36" s="2" t="s">
        <v>8</v>
      </c>
      <c r="I36" s="2">
        <v>59000</v>
      </c>
      <c r="J36" s="2" t="s">
        <v>8</v>
      </c>
      <c r="K36" s="1">
        <f t="shared" si="3"/>
        <v>2.36</v>
      </c>
      <c r="L36" s="1" t="s">
        <v>8</v>
      </c>
      <c r="M36" s="5">
        <v>35807</v>
      </c>
      <c r="N36" s="1">
        <f t="shared" si="1"/>
        <v>7219153225.8064518</v>
      </c>
      <c r="O36" s="1" t="s">
        <v>8</v>
      </c>
      <c r="P36" s="1">
        <f t="shared" si="2"/>
        <v>170372016.12903225</v>
      </c>
      <c r="Q36" s="1" t="s">
        <v>8</v>
      </c>
    </row>
    <row r="37" spans="1:17" x14ac:dyDescent="0.2">
      <c r="A37" s="1" t="s">
        <v>22</v>
      </c>
      <c r="B37" s="1" t="s">
        <v>32</v>
      </c>
      <c r="C37" s="1">
        <v>471000</v>
      </c>
      <c r="D37" s="1">
        <v>1.3</v>
      </c>
      <c r="E37" s="1">
        <v>0</v>
      </c>
      <c r="F37" s="1">
        <v>0</v>
      </c>
      <c r="G37" s="2">
        <v>6200000</v>
      </c>
      <c r="H37" s="2" t="s">
        <v>8</v>
      </c>
      <c r="I37" s="2">
        <v>117000</v>
      </c>
      <c r="J37" s="2" t="s">
        <v>8</v>
      </c>
      <c r="K37" s="1">
        <f t="shared" si="3"/>
        <v>1.8870967741935485</v>
      </c>
      <c r="L37" s="1" t="s">
        <v>8</v>
      </c>
      <c r="M37" s="5">
        <v>248635.92670000001</v>
      </c>
      <c r="N37" s="1">
        <f t="shared" si="1"/>
        <v>32729145340.552017</v>
      </c>
      <c r="O37" s="1" t="s">
        <v>8</v>
      </c>
      <c r="P37" s="1">
        <f t="shared" si="2"/>
        <v>617630645.94267511</v>
      </c>
      <c r="Q37" s="1" t="s">
        <v>8</v>
      </c>
    </row>
    <row r="38" spans="1:17" x14ac:dyDescent="0.2">
      <c r="A38" s="1" t="s">
        <v>27</v>
      </c>
      <c r="B38" s="1" t="s">
        <v>7</v>
      </c>
      <c r="C38" s="1">
        <v>64000</v>
      </c>
      <c r="D38" s="1">
        <v>-1</v>
      </c>
      <c r="E38" s="1">
        <v>0.1</v>
      </c>
      <c r="F38" s="1">
        <v>0</v>
      </c>
      <c r="G38" s="2">
        <v>5100000</v>
      </c>
      <c r="H38" s="2" t="s">
        <v>8</v>
      </c>
      <c r="I38" s="2">
        <v>75000</v>
      </c>
      <c r="J38" s="2" t="s">
        <v>8</v>
      </c>
      <c r="K38" s="1">
        <f t="shared" si="3"/>
        <v>1.4705882352941175</v>
      </c>
      <c r="L38" s="1" t="s">
        <v>8</v>
      </c>
      <c r="M38" s="5">
        <v>27111</v>
      </c>
      <c r="N38" s="1">
        <f t="shared" si="1"/>
        <v>21604078125</v>
      </c>
      <c r="O38" s="1" t="s">
        <v>8</v>
      </c>
      <c r="P38" s="1">
        <f t="shared" si="2"/>
        <v>317707031.25</v>
      </c>
      <c r="Q38" s="1" t="s">
        <v>8</v>
      </c>
    </row>
    <row r="39" spans="1:17" x14ac:dyDescent="0.2">
      <c r="A39" s="1" t="s">
        <v>27</v>
      </c>
      <c r="B39" s="1" t="s">
        <v>9</v>
      </c>
      <c r="C39" s="1">
        <v>55000</v>
      </c>
      <c r="D39" s="1">
        <v>-0.7</v>
      </c>
      <c r="E39" s="1">
        <v>0</v>
      </c>
      <c r="F39" s="1">
        <v>0</v>
      </c>
      <c r="G39" s="2">
        <v>5000000</v>
      </c>
      <c r="H39" s="2" t="s">
        <v>8</v>
      </c>
      <c r="I39" s="2">
        <v>75000</v>
      </c>
      <c r="J39" s="2" t="s">
        <v>8</v>
      </c>
      <c r="K39" s="1">
        <f t="shared" si="3"/>
        <v>1.5</v>
      </c>
      <c r="L39" s="1" t="s">
        <v>8</v>
      </c>
      <c r="M39" s="5">
        <v>12957</v>
      </c>
      <c r="N39" s="1">
        <f t="shared" si="1"/>
        <v>11779090909.09091</v>
      </c>
      <c r="O39" s="1" t="s">
        <v>8</v>
      </c>
      <c r="P39" s="1">
        <f t="shared" si="2"/>
        <v>176686363.63636363</v>
      </c>
      <c r="Q39" s="1" t="s">
        <v>8</v>
      </c>
    </row>
    <row r="40" spans="1:17" x14ac:dyDescent="0.2">
      <c r="A40" s="1" t="s">
        <v>27</v>
      </c>
      <c r="B40" s="1" t="s">
        <v>10</v>
      </c>
      <c r="C40" s="1">
        <v>454000</v>
      </c>
      <c r="D40" s="1">
        <v>0</v>
      </c>
      <c r="E40" s="1">
        <v>0</v>
      </c>
      <c r="F40" s="1">
        <v>0</v>
      </c>
      <c r="G40" s="2">
        <v>3700000</v>
      </c>
      <c r="H40" s="2" t="s">
        <v>8</v>
      </c>
      <c r="I40" s="2">
        <v>69000</v>
      </c>
      <c r="J40" s="2" t="s">
        <v>8</v>
      </c>
      <c r="K40" s="1">
        <f t="shared" si="3"/>
        <v>1.8648648648648649</v>
      </c>
      <c r="L40" s="1" t="s">
        <v>8</v>
      </c>
      <c r="M40" s="5">
        <v>124388</v>
      </c>
      <c r="N40" s="1">
        <f t="shared" si="1"/>
        <v>10137348017.621145</v>
      </c>
      <c r="O40" s="1" t="s">
        <v>8</v>
      </c>
      <c r="P40" s="1">
        <f t="shared" si="2"/>
        <v>189047841.40969163</v>
      </c>
      <c r="Q40" s="1" t="s">
        <v>8</v>
      </c>
    </row>
    <row r="41" spans="1:17" x14ac:dyDescent="0.2">
      <c r="A41" s="1" t="s">
        <v>27</v>
      </c>
      <c r="B41" s="1" t="s">
        <v>11</v>
      </c>
      <c r="C41" s="1">
        <v>62000</v>
      </c>
      <c r="D41" s="1">
        <v>-1.6</v>
      </c>
      <c r="E41" s="1">
        <v>0</v>
      </c>
      <c r="F41" s="1">
        <v>0</v>
      </c>
      <c r="G41" s="2">
        <v>5300000</v>
      </c>
      <c r="H41" s="2" t="s">
        <v>8</v>
      </c>
      <c r="I41" s="2">
        <v>66000</v>
      </c>
      <c r="J41" s="2" t="s">
        <v>8</v>
      </c>
      <c r="K41" s="1">
        <f t="shared" si="3"/>
        <v>1.2452830188679245</v>
      </c>
      <c r="L41" s="1" t="s">
        <v>8</v>
      </c>
      <c r="M41" s="5">
        <v>17686</v>
      </c>
      <c r="N41" s="1">
        <f t="shared" si="1"/>
        <v>15118677419.354839</v>
      </c>
      <c r="O41" s="1" t="s">
        <v>8</v>
      </c>
      <c r="P41" s="1">
        <f t="shared" si="2"/>
        <v>188270322.58064517</v>
      </c>
      <c r="Q41" s="1" t="s">
        <v>8</v>
      </c>
    </row>
    <row r="42" spans="1:17" x14ac:dyDescent="0.2">
      <c r="A42" s="1" t="s">
        <v>27</v>
      </c>
      <c r="B42" s="1" t="s">
        <v>12</v>
      </c>
      <c r="C42" s="1">
        <v>124000</v>
      </c>
      <c r="D42" s="1">
        <v>4</v>
      </c>
      <c r="E42" s="1">
        <v>0</v>
      </c>
      <c r="F42" s="1">
        <v>0</v>
      </c>
      <c r="G42" s="2">
        <v>2600000</v>
      </c>
      <c r="H42" s="2" t="s">
        <v>8</v>
      </c>
      <c r="I42" s="2">
        <v>81000</v>
      </c>
      <c r="J42" s="2" t="s">
        <v>8</v>
      </c>
      <c r="K42" s="1">
        <f t="shared" si="3"/>
        <v>3.1153846153846154</v>
      </c>
      <c r="L42" s="1" t="s">
        <v>8</v>
      </c>
      <c r="M42" s="5">
        <v>53090</v>
      </c>
      <c r="N42" s="1">
        <f t="shared" si="1"/>
        <v>11131774193.548388</v>
      </c>
      <c r="O42" s="1" t="s">
        <v>8</v>
      </c>
      <c r="P42" s="1">
        <f t="shared" si="2"/>
        <v>346797580.64516127</v>
      </c>
      <c r="Q42" s="1" t="s">
        <v>8</v>
      </c>
    </row>
    <row r="43" spans="1:17" x14ac:dyDescent="0.2">
      <c r="A43" s="1" t="s">
        <v>27</v>
      </c>
      <c r="B43" s="1" t="s">
        <v>32</v>
      </c>
      <c r="C43" s="1">
        <v>471000</v>
      </c>
      <c r="D43" s="1">
        <v>0.1</v>
      </c>
      <c r="E43" s="1">
        <v>0</v>
      </c>
      <c r="F43" s="1">
        <v>0</v>
      </c>
      <c r="G43" s="2">
        <v>3400000</v>
      </c>
      <c r="H43" s="2" t="s">
        <v>8</v>
      </c>
      <c r="I43" s="2">
        <v>103000</v>
      </c>
      <c r="J43" s="2" t="s">
        <v>8</v>
      </c>
      <c r="K43" s="1">
        <f t="shared" si="3"/>
        <v>3.0294117647058822</v>
      </c>
      <c r="L43" s="1" t="s">
        <v>8</v>
      </c>
      <c r="M43" s="5">
        <v>174718.8175</v>
      </c>
      <c r="N43" s="1">
        <f t="shared" si="1"/>
        <v>12612398715.498938</v>
      </c>
      <c r="O43" s="1" t="s">
        <v>8</v>
      </c>
      <c r="P43" s="1">
        <f t="shared" si="2"/>
        <v>382081490.49893844</v>
      </c>
      <c r="Q43" s="1" t="s">
        <v>8</v>
      </c>
    </row>
    <row r="44" spans="1:17" x14ac:dyDescent="0.2">
      <c r="A44" s="1" t="s">
        <v>6</v>
      </c>
      <c r="B44" s="1" t="s">
        <v>7</v>
      </c>
      <c r="C44" s="1">
        <v>64000</v>
      </c>
      <c r="D44" s="1">
        <v>3.1</v>
      </c>
      <c r="E44" s="1">
        <v>0.7</v>
      </c>
      <c r="F44" s="1">
        <v>0.4</v>
      </c>
      <c r="G44" s="2">
        <v>6000000</v>
      </c>
      <c r="H44" s="2" t="s">
        <v>8</v>
      </c>
      <c r="I44" s="2">
        <v>68000</v>
      </c>
      <c r="J44" s="2" t="s">
        <v>8</v>
      </c>
      <c r="K44" s="1">
        <f t="shared" si="3"/>
        <v>1.1333333333333333</v>
      </c>
      <c r="L44" s="1" t="s">
        <v>8</v>
      </c>
      <c r="M44" s="5">
        <v>18090.79189</v>
      </c>
      <c r="N44" s="1">
        <f t="shared" si="1"/>
        <v>16960117396.875</v>
      </c>
      <c r="O44" s="1" t="s">
        <v>8</v>
      </c>
      <c r="P44" s="1">
        <f t="shared" si="2"/>
        <v>192214663.83125001</v>
      </c>
      <c r="Q44" s="1" t="s">
        <v>8</v>
      </c>
    </row>
    <row r="45" spans="1:17" x14ac:dyDescent="0.2">
      <c r="A45" s="1" t="s">
        <v>6</v>
      </c>
      <c r="B45" s="1" t="s">
        <v>9</v>
      </c>
      <c r="C45" s="1">
        <v>55000</v>
      </c>
      <c r="D45" s="1">
        <v>0.9</v>
      </c>
      <c r="E45" s="1">
        <v>18.8</v>
      </c>
      <c r="F45" s="1">
        <v>14.2</v>
      </c>
      <c r="G45" s="2">
        <v>5800000</v>
      </c>
      <c r="H45" s="2" t="s">
        <v>8</v>
      </c>
      <c r="I45" s="2">
        <v>47000</v>
      </c>
      <c r="J45" s="2" t="s">
        <v>8</v>
      </c>
      <c r="K45" s="1">
        <f t="shared" si="3"/>
        <v>0.81034482758620685</v>
      </c>
      <c r="L45" s="1" t="s">
        <v>8</v>
      </c>
      <c r="M45" s="5">
        <v>15302</v>
      </c>
      <c r="N45" s="1">
        <f t="shared" si="1"/>
        <v>16136654545.454546</v>
      </c>
      <c r="O45" s="1" t="s">
        <v>8</v>
      </c>
      <c r="P45" s="1">
        <f t="shared" si="2"/>
        <v>130762545.45454545</v>
      </c>
      <c r="Q45" s="1" t="s">
        <v>8</v>
      </c>
    </row>
    <row r="46" spans="1:17" x14ac:dyDescent="0.2">
      <c r="A46" s="1" t="s">
        <v>6</v>
      </c>
      <c r="B46" s="1" t="s">
        <v>10</v>
      </c>
      <c r="C46" s="1">
        <v>454000</v>
      </c>
      <c r="D46" s="1">
        <v>2.6</v>
      </c>
      <c r="E46" s="1">
        <v>4</v>
      </c>
      <c r="F46" s="1">
        <v>1.2</v>
      </c>
      <c r="G46" s="2">
        <v>3900000</v>
      </c>
      <c r="H46" s="2" t="s">
        <v>8</v>
      </c>
      <c r="I46" s="2">
        <v>83000</v>
      </c>
      <c r="J46" s="2" t="s">
        <v>8</v>
      </c>
      <c r="K46" s="1">
        <f t="shared" si="3"/>
        <v>2.1282051282051282</v>
      </c>
      <c r="L46" s="1" t="s">
        <v>8</v>
      </c>
      <c r="M46" s="5">
        <v>134825</v>
      </c>
      <c r="N46" s="1">
        <f t="shared" si="1"/>
        <v>11581883259.911894</v>
      </c>
      <c r="O46" s="1" t="s">
        <v>8</v>
      </c>
      <c r="P46" s="1">
        <f t="shared" si="2"/>
        <v>246486233.48017621</v>
      </c>
      <c r="Q46" s="1" t="s">
        <v>8</v>
      </c>
    </row>
    <row r="47" spans="1:17" x14ac:dyDescent="0.2">
      <c r="A47" s="1" t="s">
        <v>6</v>
      </c>
      <c r="B47" s="1" t="s">
        <v>11</v>
      </c>
      <c r="C47" s="1">
        <v>62000</v>
      </c>
      <c r="D47" s="1">
        <v>2.2999999999999998</v>
      </c>
      <c r="E47" s="1">
        <v>2</v>
      </c>
      <c r="F47" s="1">
        <v>0.5</v>
      </c>
      <c r="G47" s="2">
        <v>5800000</v>
      </c>
      <c r="H47" s="2" t="s">
        <v>8</v>
      </c>
      <c r="I47" s="2">
        <v>37000</v>
      </c>
      <c r="J47" s="2" t="s">
        <v>8</v>
      </c>
      <c r="K47" s="1">
        <f t="shared" si="3"/>
        <v>0.63793103448275867</v>
      </c>
      <c r="L47" s="1" t="s">
        <v>8</v>
      </c>
      <c r="M47" s="5">
        <v>20220</v>
      </c>
      <c r="N47" s="1">
        <f t="shared" si="1"/>
        <v>18915483870.967743</v>
      </c>
      <c r="O47" s="1" t="s">
        <v>8</v>
      </c>
      <c r="P47" s="1">
        <f t="shared" si="2"/>
        <v>120667741.93548387</v>
      </c>
      <c r="Q47" s="1" t="s">
        <v>8</v>
      </c>
    </row>
    <row r="48" spans="1:17" x14ac:dyDescent="0.2">
      <c r="A48" s="1" t="s">
        <v>6</v>
      </c>
      <c r="B48" s="1" t="s">
        <v>12</v>
      </c>
      <c r="C48" s="1">
        <v>124000</v>
      </c>
      <c r="D48" s="1">
        <v>9.9</v>
      </c>
      <c r="E48" s="1">
        <v>0</v>
      </c>
      <c r="F48" s="1">
        <v>0</v>
      </c>
      <c r="G48" s="2">
        <v>4600000</v>
      </c>
      <c r="H48" s="2" t="s">
        <v>8</v>
      </c>
      <c r="I48" s="2">
        <v>89000</v>
      </c>
      <c r="J48" s="2" t="s">
        <v>8</v>
      </c>
      <c r="K48" s="1">
        <f t="shared" si="3"/>
        <v>1.9347826086956521</v>
      </c>
      <c r="L48" s="1" t="s">
        <v>8</v>
      </c>
      <c r="M48" s="5">
        <v>34721</v>
      </c>
      <c r="N48" s="1">
        <f t="shared" si="1"/>
        <v>12880370967.741936</v>
      </c>
      <c r="O48" s="1" t="s">
        <v>8</v>
      </c>
      <c r="P48" s="1">
        <f t="shared" si="2"/>
        <v>249207177.41935483</v>
      </c>
      <c r="Q48" s="1" t="s">
        <v>8</v>
      </c>
    </row>
    <row r="49" spans="1:17" x14ac:dyDescent="0.2">
      <c r="A49" s="1" t="s">
        <v>6</v>
      </c>
      <c r="B49" s="1" t="s">
        <v>32</v>
      </c>
      <c r="C49" s="1">
        <v>471000</v>
      </c>
      <c r="D49" s="1">
        <v>1.8</v>
      </c>
      <c r="E49" s="1">
        <v>8.8000000000000007</v>
      </c>
      <c r="F49" s="1">
        <v>3.9</v>
      </c>
      <c r="G49" s="2">
        <v>5400000</v>
      </c>
      <c r="H49" s="2" t="s">
        <v>8</v>
      </c>
      <c r="I49" s="2">
        <v>46000</v>
      </c>
      <c r="J49" s="2" t="s">
        <v>8</v>
      </c>
      <c r="K49" s="1">
        <f t="shared" si="3"/>
        <v>0.85185185185185186</v>
      </c>
      <c r="L49" s="1" t="s">
        <v>8</v>
      </c>
      <c r="M49" s="5">
        <v>196753.99770000001</v>
      </c>
      <c r="N49" s="1">
        <f t="shared" si="1"/>
        <v>22557783175.796177</v>
      </c>
      <c r="O49" s="1" t="s">
        <v>8</v>
      </c>
      <c r="P49" s="1">
        <f t="shared" si="2"/>
        <v>192158893.71974522</v>
      </c>
      <c r="Q49" s="1" t="s">
        <v>8</v>
      </c>
    </row>
    <row r="50" spans="1:17" x14ac:dyDescent="0.2">
      <c r="A50" s="1" t="s">
        <v>15</v>
      </c>
      <c r="B50" s="1" t="s">
        <v>7</v>
      </c>
      <c r="C50" s="1">
        <v>64000</v>
      </c>
      <c r="D50" s="1">
        <v>2.7</v>
      </c>
      <c r="E50" s="1">
        <v>5.4</v>
      </c>
      <c r="F50" s="1">
        <v>0</v>
      </c>
      <c r="G50" s="2">
        <v>5600000</v>
      </c>
      <c r="H50" s="2" t="s">
        <v>8</v>
      </c>
      <c r="I50" s="2">
        <v>71000</v>
      </c>
      <c r="J50" s="2" t="s">
        <v>8</v>
      </c>
      <c r="K50" s="1">
        <f t="shared" si="3"/>
        <v>1.2678571428571428</v>
      </c>
      <c r="L50" s="1" t="s">
        <v>8</v>
      </c>
      <c r="M50" s="5">
        <v>28441.390029999999</v>
      </c>
      <c r="N50" s="1">
        <f t="shared" si="1"/>
        <v>24886216276.25</v>
      </c>
      <c r="O50" s="1" t="s">
        <v>8</v>
      </c>
      <c r="P50" s="1">
        <f t="shared" si="2"/>
        <v>315521670.64531249</v>
      </c>
      <c r="Q50" s="1" t="s">
        <v>8</v>
      </c>
    </row>
    <row r="51" spans="1:17" x14ac:dyDescent="0.2">
      <c r="A51" s="1" t="s">
        <v>15</v>
      </c>
      <c r="B51" s="1" t="s">
        <v>9</v>
      </c>
      <c r="C51" s="1">
        <v>55000</v>
      </c>
      <c r="D51" s="1">
        <v>1.6</v>
      </c>
      <c r="E51" s="1">
        <v>19.600000000000001</v>
      </c>
      <c r="F51" s="1">
        <v>0</v>
      </c>
      <c r="G51" s="2">
        <v>7000000</v>
      </c>
      <c r="H51" s="2" t="s">
        <v>8</v>
      </c>
      <c r="I51" s="2">
        <v>40000</v>
      </c>
      <c r="J51" s="2" t="s">
        <v>8</v>
      </c>
      <c r="K51" s="1">
        <f t="shared" si="3"/>
        <v>0.5714285714285714</v>
      </c>
      <c r="L51" s="1" t="s">
        <v>8</v>
      </c>
      <c r="M51" s="5">
        <v>15554</v>
      </c>
      <c r="N51" s="1">
        <f t="shared" si="1"/>
        <v>19796000000</v>
      </c>
      <c r="O51" s="1" t="s">
        <v>8</v>
      </c>
      <c r="P51" s="1">
        <f t="shared" si="2"/>
        <v>113120000</v>
      </c>
      <c r="Q51" s="1" t="s">
        <v>8</v>
      </c>
    </row>
    <row r="52" spans="1:17" x14ac:dyDescent="0.2">
      <c r="A52" s="1" t="s">
        <v>15</v>
      </c>
      <c r="B52" s="1" t="s">
        <v>10</v>
      </c>
      <c r="C52" s="1">
        <v>454000</v>
      </c>
      <c r="D52" s="1">
        <v>2.1</v>
      </c>
      <c r="E52" s="1">
        <v>9.6</v>
      </c>
      <c r="F52" s="1">
        <v>0</v>
      </c>
      <c r="G52" s="2">
        <v>4800000</v>
      </c>
      <c r="H52" s="2" t="s">
        <v>8</v>
      </c>
      <c r="I52" s="2">
        <v>65000</v>
      </c>
      <c r="J52" s="2" t="s">
        <v>8</v>
      </c>
      <c r="K52" s="1">
        <f t="shared" si="3"/>
        <v>1.3541666666666667</v>
      </c>
      <c r="L52" s="1" t="s">
        <v>8</v>
      </c>
      <c r="M52" s="5">
        <v>131996</v>
      </c>
      <c r="N52" s="1">
        <f t="shared" si="1"/>
        <v>13955524229.07489</v>
      </c>
      <c r="O52" s="1" t="s">
        <v>8</v>
      </c>
      <c r="P52" s="1">
        <f t="shared" si="2"/>
        <v>188981057.26872247</v>
      </c>
      <c r="Q52" s="1" t="s">
        <v>8</v>
      </c>
    </row>
    <row r="53" spans="1:17" x14ac:dyDescent="0.2">
      <c r="A53" s="1" t="s">
        <v>15</v>
      </c>
      <c r="B53" s="1" t="s">
        <v>11</v>
      </c>
      <c r="C53" s="1">
        <v>62000</v>
      </c>
      <c r="D53" s="1">
        <v>0.7</v>
      </c>
      <c r="E53" s="1">
        <v>5.7</v>
      </c>
      <c r="F53" s="1">
        <v>0</v>
      </c>
      <c r="G53" s="2">
        <v>5000000</v>
      </c>
      <c r="H53" s="2" t="s">
        <v>8</v>
      </c>
      <c r="I53" s="2">
        <v>47000</v>
      </c>
      <c r="J53" s="2" t="s">
        <v>8</v>
      </c>
      <c r="K53" s="1">
        <f t="shared" si="3"/>
        <v>0.94000000000000006</v>
      </c>
      <c r="L53" s="1" t="s">
        <v>8</v>
      </c>
      <c r="M53" s="5">
        <v>17788</v>
      </c>
      <c r="N53" s="1">
        <f t="shared" si="1"/>
        <v>14345161290.32258</v>
      </c>
      <c r="O53" s="1" t="s">
        <v>8</v>
      </c>
      <c r="P53" s="1">
        <f t="shared" si="2"/>
        <v>134844516.12903225</v>
      </c>
      <c r="Q53" s="1" t="s">
        <v>8</v>
      </c>
    </row>
    <row r="54" spans="1:17" x14ac:dyDescent="0.2">
      <c r="A54" s="1" t="s">
        <v>15</v>
      </c>
      <c r="B54" s="1" t="s">
        <v>12</v>
      </c>
      <c r="C54" s="1">
        <v>124000</v>
      </c>
      <c r="D54" s="1">
        <v>6.3</v>
      </c>
      <c r="E54" s="1">
        <v>0</v>
      </c>
      <c r="F54" s="1">
        <v>0</v>
      </c>
      <c r="G54" s="2">
        <v>5000000</v>
      </c>
      <c r="H54" s="2" t="s">
        <v>8</v>
      </c>
      <c r="I54" s="2">
        <v>40000</v>
      </c>
      <c r="J54" s="2" t="s">
        <v>8</v>
      </c>
      <c r="K54" s="1">
        <f t="shared" si="3"/>
        <v>0.8</v>
      </c>
      <c r="L54" s="1" t="s">
        <v>8</v>
      </c>
      <c r="M54" s="5">
        <v>32984</v>
      </c>
      <c r="N54" s="1">
        <f t="shared" si="1"/>
        <v>13300000000</v>
      </c>
      <c r="O54" s="1" t="s">
        <v>8</v>
      </c>
      <c r="P54" s="1">
        <f t="shared" si="2"/>
        <v>106400000</v>
      </c>
      <c r="Q54" s="1" t="s">
        <v>8</v>
      </c>
    </row>
    <row r="55" spans="1:17" x14ac:dyDescent="0.2">
      <c r="A55" s="1" t="s">
        <v>15</v>
      </c>
      <c r="B55" s="1" t="s">
        <v>32</v>
      </c>
      <c r="C55" s="1">
        <v>471000</v>
      </c>
      <c r="D55" s="1">
        <v>2.2999999999999998</v>
      </c>
      <c r="E55" s="1">
        <v>9.4</v>
      </c>
      <c r="F55" s="1">
        <v>0</v>
      </c>
      <c r="G55" s="2">
        <v>2900000</v>
      </c>
      <c r="H55" s="2" t="s">
        <v>8</v>
      </c>
      <c r="I55" s="2">
        <v>73000</v>
      </c>
      <c r="J55" s="2" t="s">
        <v>8</v>
      </c>
      <c r="K55" s="1">
        <f t="shared" si="3"/>
        <v>2.5172413793103448</v>
      </c>
      <c r="L55" s="1" t="s">
        <v>8</v>
      </c>
      <c r="M55" s="5">
        <v>199032.51639999999</v>
      </c>
      <c r="N55" s="1">
        <f t="shared" si="1"/>
        <v>12254655999.150743</v>
      </c>
      <c r="O55" s="1" t="s">
        <v>8</v>
      </c>
      <c r="P55" s="1">
        <f t="shared" si="2"/>
        <v>308479271.7027601</v>
      </c>
      <c r="Q55" s="1" t="s">
        <v>8</v>
      </c>
    </row>
    <row r="56" spans="1:17" x14ac:dyDescent="0.2">
      <c r="A56" s="1" t="s">
        <v>19</v>
      </c>
      <c r="B56" s="1" t="s">
        <v>7</v>
      </c>
      <c r="C56" s="1">
        <v>64000</v>
      </c>
      <c r="D56" s="1">
        <v>4.7</v>
      </c>
      <c r="E56" s="1">
        <v>3.5</v>
      </c>
      <c r="F56" s="1">
        <v>1.2</v>
      </c>
      <c r="G56" s="2">
        <v>5500000</v>
      </c>
      <c r="H56" s="2">
        <v>5500000</v>
      </c>
      <c r="I56" s="2">
        <v>79000</v>
      </c>
      <c r="J56" s="2">
        <v>34000</v>
      </c>
      <c r="K56" s="1">
        <f t="shared" si="3"/>
        <v>1.4363636363636363</v>
      </c>
      <c r="L56" s="1">
        <f>J56/H56*100</f>
        <v>0.61818181818181817</v>
      </c>
      <c r="M56" s="5">
        <v>34768</v>
      </c>
      <c r="N56" s="1">
        <f t="shared" si="1"/>
        <v>29878750000</v>
      </c>
      <c r="O56" s="1">
        <f>H56*10^4*M56/C56</f>
        <v>29878750000</v>
      </c>
      <c r="P56" s="1">
        <f t="shared" si="2"/>
        <v>429167500</v>
      </c>
      <c r="Q56" s="1">
        <f>J56*10000*M56/C56</f>
        <v>184705000</v>
      </c>
    </row>
    <row r="57" spans="1:17" x14ac:dyDescent="0.2">
      <c r="A57" s="1" t="s">
        <v>19</v>
      </c>
      <c r="B57" s="1" t="s">
        <v>9</v>
      </c>
      <c r="C57" s="1">
        <v>55000</v>
      </c>
      <c r="D57" s="1">
        <v>3.9</v>
      </c>
      <c r="E57" s="1">
        <v>3.6</v>
      </c>
      <c r="F57" s="1">
        <v>1</v>
      </c>
      <c r="G57" s="2">
        <v>6700000</v>
      </c>
      <c r="H57" s="2">
        <v>4200000</v>
      </c>
      <c r="I57" s="2">
        <v>57000</v>
      </c>
      <c r="J57" s="2">
        <v>52000</v>
      </c>
      <c r="K57" s="1">
        <f t="shared" si="3"/>
        <v>0.85074626865671643</v>
      </c>
      <c r="L57" s="1">
        <f>J57/H57*100</f>
        <v>1.2380952380952381</v>
      </c>
      <c r="M57" s="5">
        <v>148379.37820000001</v>
      </c>
      <c r="N57" s="1">
        <f t="shared" si="1"/>
        <v>180753060716.36365</v>
      </c>
      <c r="O57" s="1">
        <f>H57*10^4*M57/C57</f>
        <v>113307888807.27272</v>
      </c>
      <c r="P57" s="1">
        <f t="shared" si="2"/>
        <v>1537749919.5272727</v>
      </c>
      <c r="Q57" s="1">
        <f>J57*10000*M57/C57</f>
        <v>1402859575.7090909</v>
      </c>
    </row>
    <row r="58" spans="1:17" x14ac:dyDescent="0.2">
      <c r="A58" s="1" t="s">
        <v>19</v>
      </c>
      <c r="B58" s="1" t="s">
        <v>10</v>
      </c>
      <c r="C58" s="1">
        <v>454000</v>
      </c>
      <c r="D58" s="1">
        <v>-1.1000000000000001</v>
      </c>
      <c r="E58" s="1">
        <v>8.3000000000000007</v>
      </c>
      <c r="F58" s="1">
        <v>1.3</v>
      </c>
      <c r="G58" s="2">
        <v>6000000</v>
      </c>
      <c r="H58" s="2">
        <v>4300000</v>
      </c>
      <c r="I58" s="2">
        <v>134000</v>
      </c>
      <c r="J58" s="2">
        <v>91000</v>
      </c>
      <c r="K58" s="1">
        <f t="shared" si="3"/>
        <v>2.2333333333333334</v>
      </c>
      <c r="L58" s="1">
        <f>J58/H58*100</f>
        <v>2.1162790697674421</v>
      </c>
      <c r="M58" s="5">
        <v>14818.89653</v>
      </c>
      <c r="N58" s="1">
        <f t="shared" si="1"/>
        <v>1958444475.3303964</v>
      </c>
      <c r="O58" s="1">
        <f>H58*10^4*M58/C58</f>
        <v>1403551873.9867842</v>
      </c>
      <c r="P58" s="1">
        <f t="shared" si="2"/>
        <v>43738593.282378852</v>
      </c>
      <c r="Q58" s="1">
        <f>J58*10000*M58/C58</f>
        <v>29703074.542511012</v>
      </c>
    </row>
    <row r="59" spans="1:17" x14ac:dyDescent="0.2">
      <c r="A59" s="1" t="s">
        <v>19</v>
      </c>
      <c r="B59" s="1" t="s">
        <v>11</v>
      </c>
      <c r="C59" s="1">
        <v>62000</v>
      </c>
      <c r="D59" s="1">
        <v>3.2</v>
      </c>
      <c r="E59" s="1">
        <v>5.9</v>
      </c>
      <c r="F59" s="1">
        <v>1.4</v>
      </c>
      <c r="G59" s="2">
        <v>7400000</v>
      </c>
      <c r="H59" s="2">
        <v>5300000</v>
      </c>
      <c r="I59" s="2">
        <v>63000</v>
      </c>
      <c r="J59" s="2">
        <v>49000</v>
      </c>
      <c r="K59" s="1">
        <f t="shared" si="3"/>
        <v>0.85135135135135132</v>
      </c>
      <c r="L59" s="1">
        <f>J59/H59*100</f>
        <v>0.92452830188679247</v>
      </c>
      <c r="M59" s="5">
        <v>12372</v>
      </c>
      <c r="N59" s="1">
        <f t="shared" si="1"/>
        <v>14766580645.161291</v>
      </c>
      <c r="O59" s="1">
        <f>H59*10^4*M59/C59</f>
        <v>10576064516.129032</v>
      </c>
      <c r="P59" s="1">
        <f t="shared" si="2"/>
        <v>125715483.87096775</v>
      </c>
      <c r="Q59" s="1">
        <f>J59*10000*M59/C59</f>
        <v>97778709.67741935</v>
      </c>
    </row>
    <row r="60" spans="1:17" x14ac:dyDescent="0.2">
      <c r="A60" s="1" t="s">
        <v>19</v>
      </c>
      <c r="B60" s="1" t="s">
        <v>12</v>
      </c>
      <c r="C60" s="1">
        <v>124000</v>
      </c>
      <c r="D60" s="1">
        <v>2.7</v>
      </c>
      <c r="E60" s="1">
        <v>16.600000000000001</v>
      </c>
      <c r="F60" s="1">
        <v>0</v>
      </c>
      <c r="G60" s="2">
        <v>3900000</v>
      </c>
      <c r="H60" s="2">
        <v>3200000</v>
      </c>
      <c r="I60" s="2">
        <v>95000</v>
      </c>
      <c r="J60" s="2">
        <v>74000</v>
      </c>
      <c r="K60" s="1">
        <f t="shared" si="3"/>
        <v>2.4358974358974361</v>
      </c>
      <c r="L60" s="1">
        <f>J60/H60*100</f>
        <v>2.3125</v>
      </c>
      <c r="M60" s="5">
        <v>141169</v>
      </c>
      <c r="N60" s="1">
        <f t="shared" si="1"/>
        <v>44399927419.354836</v>
      </c>
      <c r="O60" s="1">
        <f>H60*10^4*M60/C60</f>
        <v>36430709677.419357</v>
      </c>
      <c r="P60" s="1">
        <f t="shared" si="2"/>
        <v>1081536693.5483871</v>
      </c>
      <c r="Q60" s="1">
        <f>J60*10000*M60/C60</f>
        <v>842460161.29032254</v>
      </c>
    </row>
    <row r="61" spans="1:17" x14ac:dyDescent="0.2">
      <c r="A61" s="1" t="s">
        <v>19</v>
      </c>
      <c r="B61" s="1" t="s">
        <v>32</v>
      </c>
      <c r="C61" s="1">
        <v>471000</v>
      </c>
      <c r="D61" s="1">
        <v>4.5999999999999996</v>
      </c>
      <c r="E61" s="1">
        <v>2.9</v>
      </c>
      <c r="F61" s="1">
        <v>0.6</v>
      </c>
      <c r="G61" s="2">
        <v>6000000</v>
      </c>
      <c r="H61" s="2">
        <v>4500000</v>
      </c>
      <c r="I61" s="2">
        <v>45000</v>
      </c>
      <c r="J61" s="2">
        <v>44000</v>
      </c>
      <c r="K61" s="1">
        <f t="shared" si="3"/>
        <v>0.75</v>
      </c>
      <c r="L61" s="1">
        <f>J61/H61*100</f>
        <v>0.97777777777777775</v>
      </c>
      <c r="M61" s="5">
        <v>23328</v>
      </c>
      <c r="N61" s="1">
        <f t="shared" si="1"/>
        <v>2971719745.22293</v>
      </c>
      <c r="O61" s="1">
        <f>H61*10^4*M61/C61</f>
        <v>2228789808.9171972</v>
      </c>
      <c r="P61" s="1">
        <f t="shared" si="2"/>
        <v>22287898.089171976</v>
      </c>
      <c r="Q61" s="1">
        <f>J61*10000*M61/C61</f>
        <v>21792611.464968152</v>
      </c>
    </row>
    <row r="62" spans="1:17" x14ac:dyDescent="0.2">
      <c r="A62" s="1" t="s">
        <v>24</v>
      </c>
      <c r="B62" s="1" t="s">
        <v>7</v>
      </c>
      <c r="C62" s="1">
        <v>64000</v>
      </c>
      <c r="D62" s="1">
        <v>7.3</v>
      </c>
      <c r="E62" s="1">
        <v>4.5999999999999996</v>
      </c>
      <c r="F62" s="1">
        <v>1.2</v>
      </c>
      <c r="G62" s="2">
        <v>2500000</v>
      </c>
      <c r="H62" s="2">
        <v>2400000</v>
      </c>
      <c r="I62" s="2">
        <v>34000</v>
      </c>
      <c r="J62" s="2">
        <v>33000</v>
      </c>
      <c r="K62" s="1">
        <f t="shared" si="3"/>
        <v>1.3599999999999999</v>
      </c>
      <c r="L62" s="1">
        <f>J62/H62*100</f>
        <v>1.375</v>
      </c>
      <c r="M62" s="5">
        <v>14534.78116</v>
      </c>
      <c r="N62" s="1">
        <f t="shared" si="1"/>
        <v>5677648890.625</v>
      </c>
      <c r="O62" s="1">
        <f>H62*10^4*M62/C62</f>
        <v>5450542935</v>
      </c>
      <c r="P62" s="1">
        <f t="shared" si="2"/>
        <v>77216024.912499994</v>
      </c>
      <c r="Q62" s="1">
        <f>J62*10000*M62/C62</f>
        <v>74944965.356250003</v>
      </c>
    </row>
    <row r="63" spans="1:17" x14ac:dyDescent="0.2">
      <c r="A63" s="1" t="s">
        <v>24</v>
      </c>
      <c r="B63" s="1" t="s">
        <v>9</v>
      </c>
      <c r="C63" s="1">
        <v>55000</v>
      </c>
      <c r="D63" s="1">
        <v>5.6</v>
      </c>
      <c r="E63" s="1">
        <v>5.0999999999999996</v>
      </c>
      <c r="F63" s="1">
        <v>1.4</v>
      </c>
      <c r="G63" s="2">
        <v>4800000</v>
      </c>
      <c r="H63" s="2">
        <v>3200000</v>
      </c>
      <c r="I63" s="2">
        <v>27000</v>
      </c>
      <c r="J63" s="2">
        <v>26000</v>
      </c>
      <c r="K63" s="1">
        <f t="shared" si="3"/>
        <v>0.5625</v>
      </c>
      <c r="L63" s="1">
        <f>J63/H63*100</f>
        <v>0.8125</v>
      </c>
      <c r="M63" s="5">
        <v>10262</v>
      </c>
      <c r="N63" s="1">
        <f t="shared" si="1"/>
        <v>8955927272.727272</v>
      </c>
      <c r="O63" s="1">
        <f>H63*10^4*M63/C63</f>
        <v>5970618181.818182</v>
      </c>
      <c r="P63" s="1">
        <f t="shared" si="2"/>
        <v>50377090.909090906</v>
      </c>
      <c r="Q63" s="1">
        <f>J63*10000*M63/C63</f>
        <v>48511272.727272727</v>
      </c>
    </row>
    <row r="64" spans="1:17" x14ac:dyDescent="0.2">
      <c r="A64" s="1" t="s">
        <v>24</v>
      </c>
      <c r="B64" s="1" t="s">
        <v>10</v>
      </c>
      <c r="C64" s="1">
        <v>454000</v>
      </c>
      <c r="D64" s="1">
        <v>7</v>
      </c>
      <c r="E64" s="1">
        <v>13</v>
      </c>
      <c r="F64" s="1">
        <v>0.1</v>
      </c>
      <c r="G64" s="2">
        <v>2900000</v>
      </c>
      <c r="H64" s="2">
        <v>2400000</v>
      </c>
      <c r="I64" s="2">
        <v>60000</v>
      </c>
      <c r="J64" s="2">
        <v>59000</v>
      </c>
      <c r="K64" s="1">
        <f t="shared" si="3"/>
        <v>2.0689655172413794</v>
      </c>
      <c r="L64" s="1">
        <f>J64/H64*100</f>
        <v>2.458333333333333</v>
      </c>
      <c r="M64" s="5">
        <v>120611</v>
      </c>
      <c r="N64" s="1">
        <f t="shared" si="1"/>
        <v>7704226872.2466965</v>
      </c>
      <c r="O64" s="1">
        <f>H64*10^4*M64/C64</f>
        <v>6375911894.2731276</v>
      </c>
      <c r="P64" s="1">
        <f t="shared" si="2"/>
        <v>159397797.35682818</v>
      </c>
      <c r="Q64" s="1">
        <f>J64*10000*M64/C64</f>
        <v>156741167.40088105</v>
      </c>
    </row>
    <row r="65" spans="1:17" x14ac:dyDescent="0.2">
      <c r="A65" s="1" t="s">
        <v>24</v>
      </c>
      <c r="B65" s="1" t="s">
        <v>11</v>
      </c>
      <c r="C65" s="1">
        <v>62000</v>
      </c>
      <c r="D65" s="1">
        <v>5.8</v>
      </c>
      <c r="E65" s="1">
        <v>14.2</v>
      </c>
      <c r="F65" s="1">
        <v>0</v>
      </c>
      <c r="G65" s="2">
        <v>2100000</v>
      </c>
      <c r="H65" s="2">
        <v>1500000</v>
      </c>
      <c r="I65" s="2">
        <v>33000</v>
      </c>
      <c r="J65" s="2">
        <v>32000</v>
      </c>
      <c r="K65" s="1">
        <f t="shared" si="3"/>
        <v>1.5714285714285716</v>
      </c>
      <c r="L65" s="1">
        <f>J65/H65*100</f>
        <v>2.1333333333333333</v>
      </c>
      <c r="M65" s="5">
        <v>17203</v>
      </c>
      <c r="N65" s="1">
        <f t="shared" si="1"/>
        <v>5826822580.6451616</v>
      </c>
      <c r="O65" s="1">
        <f>H65*10^4*M65/C65</f>
        <v>4162016129.032258</v>
      </c>
      <c r="P65" s="1">
        <f t="shared" si="2"/>
        <v>91564354.838709682</v>
      </c>
      <c r="Q65" s="1">
        <f>J65*10000*M65/C65</f>
        <v>88789677.419354841</v>
      </c>
    </row>
    <row r="66" spans="1:17" x14ac:dyDescent="0.2">
      <c r="A66" s="1" t="s">
        <v>24</v>
      </c>
      <c r="B66" s="1" t="s">
        <v>12</v>
      </c>
      <c r="C66" s="1">
        <v>124000</v>
      </c>
      <c r="D66" s="1">
        <v>10.8</v>
      </c>
      <c r="E66" s="1">
        <v>0</v>
      </c>
      <c r="F66" s="1">
        <v>0</v>
      </c>
      <c r="G66" s="2">
        <v>1500000</v>
      </c>
      <c r="H66" s="2">
        <v>1300000</v>
      </c>
      <c r="I66" s="2">
        <v>39000</v>
      </c>
      <c r="J66" s="2">
        <v>33000</v>
      </c>
      <c r="K66" s="1">
        <f t="shared" ref="K66:K97" si="4">I66/G66*100</f>
        <v>2.6</v>
      </c>
      <c r="L66" s="1">
        <f>J66/H66*100</f>
        <v>2.5384615384615383</v>
      </c>
      <c r="M66" s="5">
        <v>47557</v>
      </c>
      <c r="N66" s="1">
        <f t="shared" si="1"/>
        <v>5752862903.2258062</v>
      </c>
      <c r="O66" s="1">
        <f>H66*10^4*M66/C66</f>
        <v>4985814516.1290321</v>
      </c>
      <c r="P66" s="1">
        <f t="shared" si="2"/>
        <v>149574435.48387095</v>
      </c>
      <c r="Q66" s="1">
        <f>J66*10000*M66/C66</f>
        <v>126562983.87096775</v>
      </c>
    </row>
    <row r="67" spans="1:17" x14ac:dyDescent="0.2">
      <c r="A67" s="1" t="s">
        <v>24</v>
      </c>
      <c r="B67" s="1" t="s">
        <v>32</v>
      </c>
      <c r="C67" s="1">
        <v>471000</v>
      </c>
      <c r="D67" s="1">
        <v>6.2</v>
      </c>
      <c r="E67" s="1">
        <v>9</v>
      </c>
      <c r="F67" s="1">
        <v>1.1000000000000001</v>
      </c>
      <c r="G67" s="2">
        <v>2700000</v>
      </c>
      <c r="H67" s="2">
        <v>2600000</v>
      </c>
      <c r="I67" s="2">
        <v>34000</v>
      </c>
      <c r="J67" s="2">
        <v>32000</v>
      </c>
      <c r="K67" s="1">
        <f t="shared" si="4"/>
        <v>1.2592592592592593</v>
      </c>
      <c r="L67" s="1">
        <f>J67/H67*100</f>
        <v>1.2307692307692308</v>
      </c>
      <c r="M67" s="5">
        <v>136283.37890000001</v>
      </c>
      <c r="N67" s="1">
        <f t="shared" ref="N67:N130" si="5">G67*10^4*M67/C67</f>
        <v>7812422994.2675171</v>
      </c>
      <c r="O67" s="1">
        <f>H67*10^4*M67/C67</f>
        <v>7523073994.4798307</v>
      </c>
      <c r="P67" s="1">
        <f t="shared" si="2"/>
        <v>98378659.927813157</v>
      </c>
      <c r="Q67" s="1">
        <f>J67*10000*M67/C67</f>
        <v>92591679.932059452</v>
      </c>
    </row>
    <row r="68" spans="1:17" x14ac:dyDescent="0.2">
      <c r="A68" s="1" t="s">
        <v>13</v>
      </c>
      <c r="B68" s="1" t="s">
        <v>7</v>
      </c>
      <c r="C68" s="1">
        <v>64000</v>
      </c>
      <c r="D68" s="1">
        <v>0</v>
      </c>
      <c r="E68" s="1">
        <v>0.1</v>
      </c>
      <c r="F68" s="1">
        <v>0</v>
      </c>
      <c r="G68" s="2">
        <v>3700000</v>
      </c>
      <c r="H68" s="2">
        <v>3100000</v>
      </c>
      <c r="I68" s="2">
        <v>76000</v>
      </c>
      <c r="J68" s="2">
        <v>67000</v>
      </c>
      <c r="K68" s="1">
        <f t="shared" si="4"/>
        <v>2.0540540540540539</v>
      </c>
      <c r="L68" s="1">
        <f>J68/H68*100</f>
        <v>2.1612903225806455</v>
      </c>
      <c r="M68" s="5">
        <v>16463.592479999999</v>
      </c>
      <c r="N68" s="1">
        <f t="shared" si="5"/>
        <v>9518014402.5</v>
      </c>
      <c r="O68" s="1">
        <f>H68*10^4*M68/C68</f>
        <v>7974552607.5</v>
      </c>
      <c r="P68" s="1">
        <f t="shared" ref="P68:P131" si="6">I68*10000*M68/C68</f>
        <v>195505160.69999999</v>
      </c>
      <c r="Q68" s="1">
        <f>J68*10000*M68/C68</f>
        <v>172353233.77500001</v>
      </c>
    </row>
    <row r="69" spans="1:17" x14ac:dyDescent="0.2">
      <c r="A69" s="1" t="s">
        <v>13</v>
      </c>
      <c r="B69" s="1" t="s">
        <v>9</v>
      </c>
      <c r="C69" s="1">
        <v>55000</v>
      </c>
      <c r="D69" s="1">
        <v>2.8</v>
      </c>
      <c r="E69" s="1">
        <v>0</v>
      </c>
      <c r="F69" s="1">
        <v>0</v>
      </c>
      <c r="G69" s="2">
        <v>1300000</v>
      </c>
      <c r="H69" s="2">
        <v>600000</v>
      </c>
      <c r="I69" s="2">
        <v>43000</v>
      </c>
      <c r="J69" s="2">
        <v>43000</v>
      </c>
      <c r="K69" s="1">
        <f t="shared" si="4"/>
        <v>3.3076923076923079</v>
      </c>
      <c r="L69" s="1">
        <f>J69/H69*100</f>
        <v>7.166666666666667</v>
      </c>
      <c r="M69" s="5">
        <v>11782</v>
      </c>
      <c r="N69" s="1">
        <f t="shared" si="5"/>
        <v>2784836363.6363635</v>
      </c>
      <c r="O69" s="1">
        <f>H69*10^4*M69/C69</f>
        <v>1285309090.909091</v>
      </c>
      <c r="P69" s="1">
        <f t="shared" si="6"/>
        <v>92113818.181818187</v>
      </c>
      <c r="Q69" s="1">
        <f>J69*10000*M69/C69</f>
        <v>92113818.181818187</v>
      </c>
    </row>
    <row r="70" spans="1:17" x14ac:dyDescent="0.2">
      <c r="A70" s="1" t="s">
        <v>13</v>
      </c>
      <c r="B70" s="1" t="s">
        <v>10</v>
      </c>
      <c r="C70" s="1">
        <v>454000</v>
      </c>
      <c r="D70" s="1">
        <v>3</v>
      </c>
      <c r="E70" s="1">
        <v>0</v>
      </c>
      <c r="F70" s="1">
        <v>0</v>
      </c>
      <c r="G70" s="2">
        <v>4400000</v>
      </c>
      <c r="H70" s="2">
        <v>3100000</v>
      </c>
      <c r="I70" s="2">
        <v>89000</v>
      </c>
      <c r="J70" s="2">
        <v>76000</v>
      </c>
      <c r="K70" s="1">
        <f t="shared" si="4"/>
        <v>2.0227272727272725</v>
      </c>
      <c r="L70" s="1">
        <f>J70/H70*100</f>
        <v>2.4516129032258065</v>
      </c>
      <c r="M70" s="5">
        <v>146678</v>
      </c>
      <c r="N70" s="1">
        <f t="shared" si="5"/>
        <v>14215488986.784142</v>
      </c>
      <c r="O70" s="1">
        <f>H70*10^4*M70/C70</f>
        <v>10015458149.779736</v>
      </c>
      <c r="P70" s="1">
        <f t="shared" si="6"/>
        <v>287540572.68722469</v>
      </c>
      <c r="Q70" s="1">
        <f>J70*10000*M70/C70</f>
        <v>245540264.3171806</v>
      </c>
    </row>
    <row r="71" spans="1:17" x14ac:dyDescent="0.2">
      <c r="A71" s="1" t="s">
        <v>13</v>
      </c>
      <c r="B71" s="1" t="s">
        <v>11</v>
      </c>
      <c r="C71" s="1">
        <v>62000</v>
      </c>
      <c r="D71" s="1">
        <v>1.8</v>
      </c>
      <c r="E71" s="1">
        <v>0</v>
      </c>
      <c r="F71" s="1">
        <v>0</v>
      </c>
      <c r="G71" s="2">
        <v>3600000</v>
      </c>
      <c r="H71" s="2">
        <v>3500000</v>
      </c>
      <c r="I71" s="2">
        <v>52000</v>
      </c>
      <c r="J71" s="2">
        <v>42000</v>
      </c>
      <c r="K71" s="1">
        <f t="shared" si="4"/>
        <v>1.4444444444444444</v>
      </c>
      <c r="L71" s="1">
        <f>J71/H71*100</f>
        <v>1.2</v>
      </c>
      <c r="M71" s="5">
        <v>17020</v>
      </c>
      <c r="N71" s="1">
        <f t="shared" si="5"/>
        <v>9882580645.1612911</v>
      </c>
      <c r="O71" s="1">
        <f>H71*10^4*M71/C71</f>
        <v>9608064516.1290321</v>
      </c>
      <c r="P71" s="1">
        <f t="shared" si="6"/>
        <v>142748387.09677419</v>
      </c>
      <c r="Q71" s="1">
        <f>J71*10000*M71/C71</f>
        <v>115296774.19354838</v>
      </c>
    </row>
    <row r="72" spans="1:17" x14ac:dyDescent="0.2">
      <c r="A72" s="1" t="s">
        <v>13</v>
      </c>
      <c r="B72" s="1" t="s">
        <v>12</v>
      </c>
      <c r="C72" s="1">
        <v>124000</v>
      </c>
      <c r="D72" s="1">
        <v>5.3</v>
      </c>
      <c r="E72" s="1">
        <v>0</v>
      </c>
      <c r="F72" s="1">
        <v>0</v>
      </c>
      <c r="G72" s="2">
        <v>3300000</v>
      </c>
      <c r="H72" s="2">
        <v>3200000</v>
      </c>
      <c r="I72" s="2">
        <v>76000</v>
      </c>
      <c r="J72" s="2">
        <v>67000</v>
      </c>
      <c r="K72" s="1">
        <f t="shared" si="4"/>
        <v>2.3030303030303028</v>
      </c>
      <c r="L72" s="1">
        <f>J72/H72*100</f>
        <v>2.09375</v>
      </c>
      <c r="M72" s="5">
        <v>32618</v>
      </c>
      <c r="N72" s="1">
        <f t="shared" si="5"/>
        <v>8680596774.1935482</v>
      </c>
      <c r="O72" s="1">
        <f>H72*10^4*M72/C72</f>
        <v>8417548387.0967741</v>
      </c>
      <c r="P72" s="1">
        <f t="shared" si="6"/>
        <v>199916774.19354838</v>
      </c>
      <c r="Q72" s="1">
        <f>J72*10000*M72/C72</f>
        <v>176242419.3548387</v>
      </c>
    </row>
    <row r="73" spans="1:17" x14ac:dyDescent="0.2">
      <c r="A73" s="1" t="s">
        <v>13</v>
      </c>
      <c r="B73" s="1" t="s">
        <v>32</v>
      </c>
      <c r="C73" s="1">
        <v>471000</v>
      </c>
      <c r="D73" s="1">
        <v>1</v>
      </c>
      <c r="E73" s="1">
        <v>0</v>
      </c>
      <c r="F73" s="1">
        <v>0</v>
      </c>
      <c r="G73" s="2">
        <v>3400000</v>
      </c>
      <c r="H73" s="2">
        <v>2800000</v>
      </c>
      <c r="I73" s="2">
        <v>51000</v>
      </c>
      <c r="J73" s="2">
        <v>46000</v>
      </c>
      <c r="K73" s="1">
        <f t="shared" si="4"/>
        <v>1.5</v>
      </c>
      <c r="L73" s="1">
        <f>J73/H73*100</f>
        <v>1.6428571428571428</v>
      </c>
      <c r="M73" s="5">
        <v>153025.9044</v>
      </c>
      <c r="N73" s="1">
        <f t="shared" si="5"/>
        <v>11046455943.949045</v>
      </c>
      <c r="O73" s="1">
        <f>H73*10^4*M73/C73</f>
        <v>9097081365.6050949</v>
      </c>
      <c r="P73" s="1">
        <f t="shared" si="6"/>
        <v>165696839.15923566</v>
      </c>
      <c r="Q73" s="1">
        <f>J73*10000*M73/C73</f>
        <v>149452051.00636941</v>
      </c>
    </row>
    <row r="74" spans="1:17" x14ac:dyDescent="0.2">
      <c r="A74" s="1" t="s">
        <v>16</v>
      </c>
      <c r="B74" s="1" t="s">
        <v>7</v>
      </c>
      <c r="C74" s="1">
        <v>64000</v>
      </c>
      <c r="D74" s="1">
        <v>-0.3</v>
      </c>
      <c r="E74" s="1">
        <v>0</v>
      </c>
      <c r="F74" s="1">
        <v>0</v>
      </c>
      <c r="G74" s="2">
        <v>5900000</v>
      </c>
      <c r="H74" s="2">
        <v>3500000</v>
      </c>
      <c r="I74" s="2">
        <v>67000</v>
      </c>
      <c r="J74" s="2">
        <v>65000</v>
      </c>
      <c r="K74" s="1">
        <f t="shared" si="4"/>
        <v>1.1355932203389829</v>
      </c>
      <c r="L74" s="1">
        <f>J74/H74*100</f>
        <v>1.8571428571428572</v>
      </c>
      <c r="M74" s="5">
        <v>14994.791209999999</v>
      </c>
      <c r="N74" s="1">
        <f t="shared" si="5"/>
        <v>13823323146.71875</v>
      </c>
      <c r="O74" s="1">
        <f>H74*10^4*M74/C74</f>
        <v>8200276442.96875</v>
      </c>
      <c r="P74" s="1">
        <f t="shared" si="6"/>
        <v>156976720.47968751</v>
      </c>
      <c r="Q74" s="1">
        <f>J74*10000*M74/C74</f>
        <v>152290848.2265625</v>
      </c>
    </row>
    <row r="75" spans="1:17" x14ac:dyDescent="0.2">
      <c r="A75" s="1" t="s">
        <v>16</v>
      </c>
      <c r="B75" s="1" t="s">
        <v>9</v>
      </c>
      <c r="C75" s="1">
        <v>55000</v>
      </c>
      <c r="D75" s="1">
        <v>1.1000000000000001</v>
      </c>
      <c r="E75" s="1">
        <v>0</v>
      </c>
      <c r="F75" s="1">
        <v>0</v>
      </c>
      <c r="G75" s="2">
        <v>5400000</v>
      </c>
      <c r="H75" s="2">
        <v>2200000</v>
      </c>
      <c r="I75" s="2">
        <v>48000</v>
      </c>
      <c r="J75" s="2">
        <v>43000</v>
      </c>
      <c r="K75" s="1">
        <f t="shared" si="4"/>
        <v>0.88888888888888884</v>
      </c>
      <c r="L75" s="1">
        <f>J75/H75*100</f>
        <v>1.9545454545454546</v>
      </c>
      <c r="M75" s="5">
        <v>11544</v>
      </c>
      <c r="N75" s="1">
        <f t="shared" si="5"/>
        <v>11334109090.90909</v>
      </c>
      <c r="O75" s="1">
        <f>H75*10^4*M75/C75</f>
        <v>4617600000</v>
      </c>
      <c r="P75" s="1">
        <f t="shared" si="6"/>
        <v>100747636.36363636</v>
      </c>
      <c r="Q75" s="1">
        <f>J75*10000*M75/C75</f>
        <v>90253090.909090906</v>
      </c>
    </row>
    <row r="76" spans="1:17" x14ac:dyDescent="0.2">
      <c r="A76" s="1" t="s">
        <v>16</v>
      </c>
      <c r="B76" s="1" t="s">
        <v>10</v>
      </c>
      <c r="C76" s="1">
        <v>454000</v>
      </c>
      <c r="D76" s="1">
        <v>1.7</v>
      </c>
      <c r="E76" s="1">
        <v>0</v>
      </c>
      <c r="F76" s="1">
        <v>0</v>
      </c>
      <c r="G76" s="2">
        <v>1900000</v>
      </c>
      <c r="H76" s="2">
        <v>1400000</v>
      </c>
      <c r="I76" s="2">
        <v>79000</v>
      </c>
      <c r="J76" s="2">
        <v>51000</v>
      </c>
      <c r="K76" s="1">
        <f t="shared" si="4"/>
        <v>4.1578947368421053</v>
      </c>
      <c r="L76" s="1">
        <f>J76/H76*100</f>
        <v>3.6428571428571428</v>
      </c>
      <c r="M76" s="5">
        <v>143905</v>
      </c>
      <c r="N76" s="1">
        <f t="shared" si="5"/>
        <v>6022455947.1365643</v>
      </c>
      <c r="O76" s="1">
        <f>H76*10^4*M76/C76</f>
        <v>4437599118.9427309</v>
      </c>
      <c r="P76" s="1">
        <f t="shared" si="6"/>
        <v>250407378.85462555</v>
      </c>
      <c r="Q76" s="1">
        <f>J76*10000*M76/C76</f>
        <v>161655396.47577092</v>
      </c>
    </row>
    <row r="77" spans="1:17" x14ac:dyDescent="0.2">
      <c r="A77" s="1" t="s">
        <v>16</v>
      </c>
      <c r="B77" s="1" t="s">
        <v>11</v>
      </c>
      <c r="C77" s="1">
        <v>62000</v>
      </c>
      <c r="D77" s="1">
        <v>0.6</v>
      </c>
      <c r="E77" s="1">
        <v>0</v>
      </c>
      <c r="F77" s="1">
        <v>0</v>
      </c>
      <c r="G77" s="2">
        <v>3400000</v>
      </c>
      <c r="H77" s="2">
        <v>3300000</v>
      </c>
      <c r="I77" s="2">
        <v>66000</v>
      </c>
      <c r="J77" s="2">
        <v>62000</v>
      </c>
      <c r="K77" s="1">
        <f t="shared" si="4"/>
        <v>1.9411764705882355</v>
      </c>
      <c r="L77" s="1">
        <f>J77/H77*100</f>
        <v>1.8787878787878787</v>
      </c>
      <c r="M77" s="5">
        <v>16491</v>
      </c>
      <c r="N77" s="1">
        <f t="shared" si="5"/>
        <v>9043451612.9032249</v>
      </c>
      <c r="O77" s="1">
        <f>H77*10^4*M77/C77</f>
        <v>8777467741.9354839</v>
      </c>
      <c r="P77" s="1">
        <f t="shared" si="6"/>
        <v>175549354.83870968</v>
      </c>
      <c r="Q77" s="1">
        <f>J77*10000*M77/C77</f>
        <v>164910000</v>
      </c>
    </row>
    <row r="78" spans="1:17" x14ac:dyDescent="0.2">
      <c r="A78" s="1" t="s">
        <v>16</v>
      </c>
      <c r="B78" s="1" t="s">
        <v>12</v>
      </c>
      <c r="C78" s="1">
        <v>124000</v>
      </c>
      <c r="D78" s="1">
        <v>3.6</v>
      </c>
      <c r="E78" s="1">
        <v>0</v>
      </c>
      <c r="F78" s="1">
        <v>0</v>
      </c>
      <c r="G78" s="2">
        <v>6800000</v>
      </c>
      <c r="H78" s="2">
        <v>6300000</v>
      </c>
      <c r="I78" s="2">
        <v>125000</v>
      </c>
      <c r="J78" s="2">
        <v>120000</v>
      </c>
      <c r="K78" s="1">
        <f t="shared" si="4"/>
        <v>1.8382352941176472</v>
      </c>
      <c r="L78" s="1">
        <f>J78/H78*100</f>
        <v>1.9047619047619049</v>
      </c>
      <c r="M78" s="5">
        <v>33952</v>
      </c>
      <c r="N78" s="1">
        <f t="shared" si="5"/>
        <v>18618838709.677418</v>
      </c>
      <c r="O78" s="1">
        <f>H78*10^4*M78/C78</f>
        <v>17249806451.612904</v>
      </c>
      <c r="P78" s="1">
        <f t="shared" si="6"/>
        <v>342258064.51612902</v>
      </c>
      <c r="Q78" s="1">
        <f>J78*10000*M78/C78</f>
        <v>328567741.93548387</v>
      </c>
    </row>
    <row r="79" spans="1:17" x14ac:dyDescent="0.2">
      <c r="A79" s="1" t="s">
        <v>16</v>
      </c>
      <c r="B79" s="1" t="s">
        <v>32</v>
      </c>
      <c r="C79" s="1">
        <v>471000</v>
      </c>
      <c r="D79" s="1">
        <v>-0.1</v>
      </c>
      <c r="E79" s="1">
        <v>0</v>
      </c>
      <c r="F79" s="1">
        <v>0</v>
      </c>
      <c r="G79" s="2">
        <v>3200000</v>
      </c>
      <c r="H79" s="2">
        <v>2600000</v>
      </c>
      <c r="I79" s="2">
        <v>71000</v>
      </c>
      <c r="J79" s="2">
        <v>68000</v>
      </c>
      <c r="K79" s="1">
        <f t="shared" si="4"/>
        <v>2.21875</v>
      </c>
      <c r="L79" s="1">
        <f>J79/H79*100</f>
        <v>2.6153846153846154</v>
      </c>
      <c r="M79" s="5">
        <v>142454.71369999999</v>
      </c>
      <c r="N79" s="1">
        <f t="shared" si="5"/>
        <v>9678451886.1995754</v>
      </c>
      <c r="O79" s="1">
        <f>H79*10^4*M79/C79</f>
        <v>7863742157.5371552</v>
      </c>
      <c r="P79" s="1">
        <f t="shared" si="6"/>
        <v>214740651.22505307</v>
      </c>
      <c r="Q79" s="1">
        <f>J79*10000*M79/C79</f>
        <v>205667102.58174098</v>
      </c>
    </row>
    <row r="80" spans="1:17" x14ac:dyDescent="0.2">
      <c r="A80" s="1" t="s">
        <v>20</v>
      </c>
      <c r="B80" s="1" t="s">
        <v>12</v>
      </c>
      <c r="C80" s="1">
        <v>124000</v>
      </c>
      <c r="D80" s="1">
        <v>8.6</v>
      </c>
      <c r="E80" s="1">
        <v>0.4</v>
      </c>
      <c r="F80" s="1">
        <v>0</v>
      </c>
      <c r="G80" s="2">
        <v>1100000</v>
      </c>
      <c r="H80" s="2">
        <v>1100000</v>
      </c>
      <c r="I80" s="2">
        <v>42000</v>
      </c>
      <c r="J80" s="2">
        <v>37000</v>
      </c>
      <c r="K80" s="1">
        <f t="shared" si="4"/>
        <v>3.8181818181818183</v>
      </c>
      <c r="L80" s="1">
        <f>J80/H80*100</f>
        <v>3.3636363636363638</v>
      </c>
      <c r="M80" s="5">
        <v>16953.779719999999</v>
      </c>
      <c r="N80" s="1">
        <f t="shared" si="5"/>
        <v>1503964330</v>
      </c>
      <c r="O80" s="1">
        <f>H80*10^4*M80/C80</f>
        <v>1503964330</v>
      </c>
      <c r="P80" s="1">
        <f t="shared" si="6"/>
        <v>57424092.599999994</v>
      </c>
      <c r="Q80" s="1">
        <f>J80*10000*M80/C80</f>
        <v>50587891.099999994</v>
      </c>
    </row>
    <row r="81" spans="1:17" x14ac:dyDescent="0.2">
      <c r="A81" s="1" t="s">
        <v>20</v>
      </c>
      <c r="B81" s="1" t="s">
        <v>32</v>
      </c>
      <c r="C81" s="1">
        <v>471000</v>
      </c>
      <c r="D81" s="1">
        <v>6.7</v>
      </c>
      <c r="E81" s="1">
        <v>2.2999999999999998</v>
      </c>
      <c r="F81" s="1">
        <v>1.2</v>
      </c>
      <c r="G81" s="2">
        <v>3300000</v>
      </c>
      <c r="H81" s="2">
        <v>3200000</v>
      </c>
      <c r="I81" s="2">
        <v>30000</v>
      </c>
      <c r="J81" s="2">
        <v>26000</v>
      </c>
      <c r="K81" s="1">
        <f t="shared" si="4"/>
        <v>0.90909090909090906</v>
      </c>
      <c r="L81" s="1">
        <f>J81/H81*100</f>
        <v>0.8125</v>
      </c>
      <c r="M81" s="5">
        <v>12538</v>
      </c>
      <c r="N81" s="1">
        <f t="shared" si="5"/>
        <v>878458598.72611463</v>
      </c>
      <c r="O81" s="1">
        <f>H81*10^4*M81/C81</f>
        <v>851838641.18895972</v>
      </c>
      <c r="P81" s="1">
        <f t="shared" si="6"/>
        <v>7985987.261146497</v>
      </c>
      <c r="Q81" s="1">
        <f>J81*10000*M81/C81</f>
        <v>6921188.9596602973</v>
      </c>
    </row>
    <row r="82" spans="1:17" x14ac:dyDescent="0.2">
      <c r="A82" s="1" t="s">
        <v>20</v>
      </c>
      <c r="B82" s="1" t="s">
        <v>7</v>
      </c>
      <c r="C82" s="1">
        <v>64000</v>
      </c>
      <c r="D82" s="1">
        <v>7.4</v>
      </c>
      <c r="E82" s="1">
        <v>0</v>
      </c>
      <c r="F82" s="1">
        <v>0</v>
      </c>
      <c r="G82" s="2">
        <v>2700000</v>
      </c>
      <c r="H82" s="2">
        <v>2600000</v>
      </c>
      <c r="I82" s="2">
        <v>35000</v>
      </c>
      <c r="J82" s="2">
        <v>22000</v>
      </c>
      <c r="K82" s="1">
        <f t="shared" si="4"/>
        <v>1.2962962962962963</v>
      </c>
      <c r="L82" s="1">
        <f>J82/H82*100</f>
        <v>0.84615384615384615</v>
      </c>
      <c r="M82" s="5">
        <v>126267</v>
      </c>
      <c r="N82" s="1">
        <f t="shared" si="5"/>
        <v>53268890625</v>
      </c>
      <c r="O82" s="1">
        <f>H82*10^4*M82/C82</f>
        <v>51295968750</v>
      </c>
      <c r="P82" s="1">
        <f t="shared" si="6"/>
        <v>690522656.25</v>
      </c>
      <c r="Q82" s="1">
        <f>J82*10000*M82/C82</f>
        <v>434042812.5</v>
      </c>
    </row>
    <row r="83" spans="1:17" x14ac:dyDescent="0.2">
      <c r="A83" s="1" t="s">
        <v>20</v>
      </c>
      <c r="B83" s="1" t="s">
        <v>9</v>
      </c>
      <c r="C83" s="1">
        <v>55000</v>
      </c>
      <c r="D83" s="1">
        <v>11.9</v>
      </c>
      <c r="E83" s="1">
        <v>0</v>
      </c>
      <c r="F83" s="1">
        <v>0</v>
      </c>
      <c r="G83" s="2">
        <v>3600000</v>
      </c>
      <c r="H83" s="2">
        <v>2400000</v>
      </c>
      <c r="I83" s="2">
        <v>47000</v>
      </c>
      <c r="J83" s="2">
        <v>41000</v>
      </c>
      <c r="K83" s="1">
        <f t="shared" si="4"/>
        <v>1.3055555555555556</v>
      </c>
      <c r="L83" s="1">
        <f>J83/H83*100</f>
        <v>1.7083333333333333</v>
      </c>
      <c r="M83" s="5">
        <v>17328</v>
      </c>
      <c r="N83" s="1">
        <f t="shared" si="5"/>
        <v>11341963636.363636</v>
      </c>
      <c r="O83" s="1">
        <f>H83*10^4*M83/C83</f>
        <v>7561309090.909091</v>
      </c>
      <c r="P83" s="1">
        <f t="shared" si="6"/>
        <v>148075636.36363637</v>
      </c>
      <c r="Q83" s="1">
        <f>J83*10000*M83/C83</f>
        <v>129172363.63636364</v>
      </c>
    </row>
    <row r="84" spans="1:17" x14ac:dyDescent="0.2">
      <c r="A84" s="1" t="s">
        <v>20</v>
      </c>
      <c r="B84" s="1" t="s">
        <v>10</v>
      </c>
      <c r="C84" s="1">
        <v>454000</v>
      </c>
      <c r="D84" s="1">
        <v>9.5</v>
      </c>
      <c r="E84" s="1">
        <v>14</v>
      </c>
      <c r="F84" s="1">
        <v>0.3</v>
      </c>
      <c r="G84" s="2">
        <v>1500000</v>
      </c>
      <c r="H84" s="2">
        <v>1200000</v>
      </c>
      <c r="I84" s="2">
        <v>29000</v>
      </c>
      <c r="J84" s="2">
        <v>24000</v>
      </c>
      <c r="K84" s="1">
        <f t="shared" si="4"/>
        <v>1.9333333333333333</v>
      </c>
      <c r="L84" s="1">
        <f>J84/H84*100</f>
        <v>2</v>
      </c>
      <c r="M84" s="5">
        <v>50940</v>
      </c>
      <c r="N84" s="1">
        <f t="shared" si="5"/>
        <v>1683039647.5770924</v>
      </c>
      <c r="O84" s="1">
        <f>H84*10^4*M84/C84</f>
        <v>1346431718.0616741</v>
      </c>
      <c r="P84" s="1">
        <f t="shared" si="6"/>
        <v>32538766.51982379</v>
      </c>
      <c r="Q84" s="1">
        <f>J84*10000*M84/C84</f>
        <v>26928634.36123348</v>
      </c>
    </row>
    <row r="85" spans="1:17" x14ac:dyDescent="0.2">
      <c r="A85" s="1" t="s">
        <v>20</v>
      </c>
      <c r="B85" s="1" t="s">
        <v>11</v>
      </c>
      <c r="C85" s="1">
        <v>62000</v>
      </c>
      <c r="D85" s="1">
        <v>7.3</v>
      </c>
      <c r="E85" s="1">
        <v>5.0999999999999996</v>
      </c>
      <c r="F85" s="1">
        <v>0.4</v>
      </c>
      <c r="G85" s="2">
        <v>4200000</v>
      </c>
      <c r="H85" s="2">
        <v>3200000</v>
      </c>
      <c r="I85" s="2">
        <v>16000</v>
      </c>
      <c r="J85" s="2">
        <v>16000</v>
      </c>
      <c r="K85" s="1">
        <f t="shared" si="4"/>
        <v>0.38095238095238093</v>
      </c>
      <c r="L85" s="1">
        <f>J85/H85*100</f>
        <v>0.5</v>
      </c>
      <c r="M85" s="5">
        <v>128545.989</v>
      </c>
      <c r="N85" s="1">
        <f t="shared" si="5"/>
        <v>87079540935.483871</v>
      </c>
      <c r="O85" s="1">
        <f>H85*10^4*M85/C85</f>
        <v>66346316903.225807</v>
      </c>
      <c r="P85" s="1">
        <f t="shared" si="6"/>
        <v>331731584.51612902</v>
      </c>
      <c r="Q85" s="1">
        <f>J85*10000*M85/C85</f>
        <v>331731584.51612902</v>
      </c>
    </row>
    <row r="86" spans="1:17" x14ac:dyDescent="0.2">
      <c r="A86" s="1" t="s">
        <v>25</v>
      </c>
      <c r="B86" s="1" t="s">
        <v>12</v>
      </c>
      <c r="C86" s="1">
        <v>124000</v>
      </c>
      <c r="D86" s="1">
        <v>8.4</v>
      </c>
      <c r="E86" s="1">
        <v>0</v>
      </c>
      <c r="F86" s="1">
        <v>0</v>
      </c>
      <c r="G86" s="2">
        <v>4200000</v>
      </c>
      <c r="H86" s="2">
        <v>3900000</v>
      </c>
      <c r="I86" s="2">
        <v>43000</v>
      </c>
      <c r="J86" s="2">
        <v>38000</v>
      </c>
      <c r="K86" s="1">
        <f t="shared" si="4"/>
        <v>1.0238095238095239</v>
      </c>
      <c r="L86" s="1">
        <f>J86/H86*100</f>
        <v>0.97435897435897445</v>
      </c>
      <c r="M86" s="5">
        <v>15959.190689999999</v>
      </c>
      <c r="N86" s="1">
        <f t="shared" si="5"/>
        <v>5405532330.4838705</v>
      </c>
      <c r="O86" s="1">
        <f>H86*10^4*M86/C86</f>
        <v>5019422878.3064518</v>
      </c>
      <c r="P86" s="1">
        <f t="shared" si="6"/>
        <v>55342354.812096775</v>
      </c>
      <c r="Q86" s="1">
        <f>J86*10000*M86/C86</f>
        <v>48907197.275806449</v>
      </c>
    </row>
    <row r="87" spans="1:17" x14ac:dyDescent="0.2">
      <c r="A87" s="1" t="s">
        <v>25</v>
      </c>
      <c r="B87" s="1" t="s">
        <v>32</v>
      </c>
      <c r="C87" s="1">
        <v>471000</v>
      </c>
      <c r="D87" s="1">
        <v>7.2</v>
      </c>
      <c r="E87" s="1">
        <v>0</v>
      </c>
      <c r="F87" s="1">
        <v>0</v>
      </c>
      <c r="G87" s="2">
        <v>3800000</v>
      </c>
      <c r="H87" s="2">
        <v>3200000</v>
      </c>
      <c r="I87" s="2">
        <v>73000</v>
      </c>
      <c r="J87" s="2">
        <v>46000</v>
      </c>
      <c r="K87" s="1">
        <f t="shared" si="4"/>
        <v>1.9210526315789473</v>
      </c>
      <c r="L87" s="1">
        <f>J87/H87*100</f>
        <v>1.4375</v>
      </c>
      <c r="M87" s="5">
        <v>11584</v>
      </c>
      <c r="N87" s="1">
        <f t="shared" si="5"/>
        <v>934590233.5456475</v>
      </c>
      <c r="O87" s="1">
        <f>H87*10^4*M87/C87</f>
        <v>787023354.5647558</v>
      </c>
      <c r="P87" s="1">
        <f t="shared" si="6"/>
        <v>17953970.276008494</v>
      </c>
      <c r="Q87" s="1">
        <f>J87*10000*M87/C87</f>
        <v>11313460.721868366</v>
      </c>
    </row>
    <row r="88" spans="1:17" x14ac:dyDescent="0.2">
      <c r="A88" s="1" t="s">
        <v>25</v>
      </c>
      <c r="B88" s="1" t="s">
        <v>7</v>
      </c>
      <c r="C88" s="1">
        <v>64000</v>
      </c>
      <c r="D88" s="1">
        <v>6.2</v>
      </c>
      <c r="E88" s="1">
        <v>0</v>
      </c>
      <c r="F88" s="1">
        <v>0</v>
      </c>
      <c r="G88" s="2">
        <v>4900000</v>
      </c>
      <c r="H88" s="2">
        <v>4100000</v>
      </c>
      <c r="I88" s="2">
        <v>72000</v>
      </c>
      <c r="J88" s="2">
        <v>65000</v>
      </c>
      <c r="K88" s="1">
        <f t="shared" si="4"/>
        <v>1.4693877551020407</v>
      </c>
      <c r="L88" s="1">
        <f>J88/H88*100</f>
        <v>1.5853658536585367</v>
      </c>
      <c r="M88" s="5">
        <v>138076</v>
      </c>
      <c r="N88" s="1">
        <f t="shared" si="5"/>
        <v>105714437500</v>
      </c>
      <c r="O88" s="1">
        <f>H88*10^4*M88/C88</f>
        <v>88454937500</v>
      </c>
      <c r="P88" s="1">
        <f t="shared" si="6"/>
        <v>1553355000</v>
      </c>
      <c r="Q88" s="1">
        <f>J88*10000*M88/C88</f>
        <v>1402334375</v>
      </c>
    </row>
    <row r="89" spans="1:17" x14ac:dyDescent="0.2">
      <c r="A89" s="1" t="s">
        <v>25</v>
      </c>
      <c r="B89" s="1" t="s">
        <v>9</v>
      </c>
      <c r="C89" s="1">
        <v>55000</v>
      </c>
      <c r="D89" s="1">
        <v>9.9</v>
      </c>
      <c r="E89" s="1">
        <v>0</v>
      </c>
      <c r="F89" s="1">
        <v>0</v>
      </c>
      <c r="G89" s="2">
        <v>5100000</v>
      </c>
      <c r="H89" s="2">
        <v>5100000</v>
      </c>
      <c r="I89" s="2">
        <v>43000</v>
      </c>
      <c r="J89" s="2">
        <v>37000</v>
      </c>
      <c r="K89" s="1">
        <f t="shared" si="4"/>
        <v>0.84313725490196068</v>
      </c>
      <c r="L89" s="1">
        <f>J89/H89*100</f>
        <v>0.72549019607843135</v>
      </c>
      <c r="M89" s="5">
        <v>18048</v>
      </c>
      <c r="N89" s="1">
        <f t="shared" si="5"/>
        <v>16735418181.818182</v>
      </c>
      <c r="O89" s="1">
        <f>H89*10^4*M89/C89</f>
        <v>16735418181.818182</v>
      </c>
      <c r="P89" s="1">
        <f t="shared" si="6"/>
        <v>141102545.45454547</v>
      </c>
      <c r="Q89" s="1">
        <f>J89*10000*M89/C89</f>
        <v>121413818.18181819</v>
      </c>
    </row>
    <row r="90" spans="1:17" x14ac:dyDescent="0.2">
      <c r="A90" s="1" t="s">
        <v>25</v>
      </c>
      <c r="B90" s="1" t="s">
        <v>10</v>
      </c>
      <c r="C90" s="1">
        <v>454000</v>
      </c>
      <c r="D90" s="1">
        <v>8.1</v>
      </c>
      <c r="E90" s="1">
        <v>0</v>
      </c>
      <c r="F90" s="1">
        <v>0</v>
      </c>
      <c r="G90" s="2">
        <v>1900000</v>
      </c>
      <c r="H90" s="2">
        <v>1900000</v>
      </c>
      <c r="I90" s="2">
        <v>44000</v>
      </c>
      <c r="J90" s="2">
        <v>39000</v>
      </c>
      <c r="K90" s="1">
        <f t="shared" si="4"/>
        <v>2.3157894736842106</v>
      </c>
      <c r="L90" s="1">
        <f>J90/H90*100</f>
        <v>2.0526315789473686</v>
      </c>
      <c r="M90" s="5">
        <v>34774</v>
      </c>
      <c r="N90" s="1">
        <f t="shared" si="5"/>
        <v>1455299559.4713657</v>
      </c>
      <c r="O90" s="1">
        <f>H90*10^4*M90/C90</f>
        <v>1455299559.4713657</v>
      </c>
      <c r="P90" s="1">
        <f t="shared" si="6"/>
        <v>33701674.008810572</v>
      </c>
      <c r="Q90" s="1">
        <f>J90*10000*M90/C90</f>
        <v>29871938.325991191</v>
      </c>
    </row>
    <row r="91" spans="1:17" x14ac:dyDescent="0.2">
      <c r="A91" s="1" t="s">
        <v>25</v>
      </c>
      <c r="B91" s="1" t="s">
        <v>11</v>
      </c>
      <c r="C91" s="1">
        <v>62000</v>
      </c>
      <c r="D91" s="1">
        <v>7.1</v>
      </c>
      <c r="E91" s="1">
        <v>0</v>
      </c>
      <c r="F91" s="1">
        <v>0</v>
      </c>
      <c r="G91" s="2">
        <v>4600000</v>
      </c>
      <c r="H91" s="2">
        <v>3800000</v>
      </c>
      <c r="I91" s="2">
        <v>58000</v>
      </c>
      <c r="J91" s="2">
        <v>49000</v>
      </c>
      <c r="K91" s="1">
        <f t="shared" si="4"/>
        <v>1.2608695652173914</v>
      </c>
      <c r="L91" s="1">
        <f>J91/H91*100</f>
        <v>1.2894736842105263</v>
      </c>
      <c r="M91" s="5">
        <v>142054.1771</v>
      </c>
      <c r="N91" s="1">
        <f t="shared" si="5"/>
        <v>105395034622.58064</v>
      </c>
      <c r="O91" s="1">
        <f>H91*10^4*M91/C91</f>
        <v>87065463383.870972</v>
      </c>
      <c r="P91" s="1">
        <f t="shared" si="6"/>
        <v>1328893914.8064516</v>
      </c>
      <c r="Q91" s="1">
        <f>J91*10000*M91/C91</f>
        <v>1122686238.3709676</v>
      </c>
    </row>
    <row r="92" spans="1:17" x14ac:dyDescent="0.2">
      <c r="A92" s="1" t="s">
        <v>28</v>
      </c>
      <c r="B92" s="1" t="s">
        <v>12</v>
      </c>
      <c r="C92" s="1">
        <v>124000</v>
      </c>
      <c r="D92" s="1">
        <v>12</v>
      </c>
      <c r="E92" s="1">
        <v>0</v>
      </c>
      <c r="F92" s="1">
        <v>0</v>
      </c>
      <c r="G92" s="2">
        <v>4500000</v>
      </c>
      <c r="H92" s="2">
        <v>4300000</v>
      </c>
      <c r="I92" s="2">
        <v>34000</v>
      </c>
      <c r="J92" s="2">
        <v>27000</v>
      </c>
      <c r="K92" s="1">
        <f t="shared" si="4"/>
        <v>0.75555555555555554</v>
      </c>
      <c r="L92" s="1">
        <f>J92/H92*100</f>
        <v>0.62790697674418605</v>
      </c>
      <c r="M92" s="5">
        <v>34294</v>
      </c>
      <c r="N92" s="1">
        <f t="shared" si="5"/>
        <v>12445403225.806452</v>
      </c>
      <c r="O92" s="1">
        <f>H92*10^4*M92/C92</f>
        <v>11892274193.548388</v>
      </c>
      <c r="P92" s="1">
        <f t="shared" si="6"/>
        <v>94031935.483870968</v>
      </c>
      <c r="Q92" s="1">
        <f>J92*10000*M92/C92</f>
        <v>74672419.354838714</v>
      </c>
    </row>
    <row r="93" spans="1:17" x14ac:dyDescent="0.2">
      <c r="A93" s="1" t="s">
        <v>28</v>
      </c>
      <c r="B93" s="1" t="s">
        <v>32</v>
      </c>
      <c r="C93" s="1">
        <v>471000</v>
      </c>
      <c r="D93" s="1">
        <v>11.5</v>
      </c>
      <c r="E93" s="1">
        <v>0.5</v>
      </c>
      <c r="F93" s="1">
        <v>0.5</v>
      </c>
      <c r="G93" s="2">
        <v>3600000</v>
      </c>
      <c r="H93" s="2">
        <v>3600000</v>
      </c>
      <c r="I93" s="2">
        <v>53000</v>
      </c>
      <c r="J93" s="2">
        <v>52000</v>
      </c>
      <c r="K93" s="1">
        <f t="shared" si="4"/>
        <v>1.4722222222222221</v>
      </c>
      <c r="L93" s="1">
        <f>J93/H93*100</f>
        <v>1.4444444444444444</v>
      </c>
      <c r="M93" s="5">
        <v>42842</v>
      </c>
      <c r="N93" s="1">
        <f t="shared" si="5"/>
        <v>3274547770.7006369</v>
      </c>
      <c r="O93" s="1">
        <f>H93*10^4*M93/C93</f>
        <v>3274547770.7006369</v>
      </c>
      <c r="P93" s="1">
        <f t="shared" si="6"/>
        <v>48208619.957537152</v>
      </c>
      <c r="Q93" s="1">
        <f>J93*10000*M93/C93</f>
        <v>47299023.354564756</v>
      </c>
    </row>
    <row r="94" spans="1:17" x14ac:dyDescent="0.2">
      <c r="A94" s="1" t="s">
        <v>28</v>
      </c>
      <c r="B94" s="1" t="s">
        <v>7</v>
      </c>
      <c r="C94" s="1">
        <v>64000</v>
      </c>
      <c r="D94" s="1">
        <v>10.9</v>
      </c>
      <c r="E94" s="1">
        <v>0</v>
      </c>
      <c r="F94" s="1">
        <v>0</v>
      </c>
      <c r="G94" s="2">
        <v>5000000</v>
      </c>
      <c r="H94" s="2">
        <v>4600000</v>
      </c>
      <c r="I94" s="2">
        <v>41000</v>
      </c>
      <c r="J94" s="2">
        <v>37000</v>
      </c>
      <c r="K94" s="1">
        <f t="shared" si="4"/>
        <v>0.82000000000000006</v>
      </c>
      <c r="L94" s="1">
        <f>J94/H94*100</f>
        <v>0.80434782608695654</v>
      </c>
      <c r="M94" s="5">
        <v>14763</v>
      </c>
      <c r="N94" s="1">
        <f t="shared" si="5"/>
        <v>11533593750</v>
      </c>
      <c r="O94" s="1">
        <f>H94*10^4*M94/C94</f>
        <v>10610906250</v>
      </c>
      <c r="P94" s="1">
        <f t="shared" si="6"/>
        <v>94575468.75</v>
      </c>
      <c r="Q94" s="1">
        <f>J94*10000*M94/C94</f>
        <v>85348593.75</v>
      </c>
    </row>
    <row r="95" spans="1:17" x14ac:dyDescent="0.2">
      <c r="A95" s="1" t="s">
        <v>28</v>
      </c>
      <c r="B95" s="1" t="s">
        <v>9</v>
      </c>
      <c r="C95" s="1">
        <v>55000</v>
      </c>
      <c r="D95" s="1">
        <v>12.4</v>
      </c>
      <c r="E95" s="1">
        <v>0</v>
      </c>
      <c r="F95" s="1">
        <v>0</v>
      </c>
      <c r="G95" s="2">
        <v>7400000</v>
      </c>
      <c r="H95" s="2">
        <v>7400000</v>
      </c>
      <c r="I95" s="2">
        <v>34000</v>
      </c>
      <c r="J95" s="2">
        <v>23000</v>
      </c>
      <c r="K95" s="1">
        <f t="shared" si="4"/>
        <v>0.45945945945945943</v>
      </c>
      <c r="L95" s="1">
        <f>J95/H95*100</f>
        <v>0.3108108108108108</v>
      </c>
      <c r="M95" s="5">
        <v>187444</v>
      </c>
      <c r="N95" s="1">
        <f t="shared" si="5"/>
        <v>252197381818.18182</v>
      </c>
      <c r="O95" s="1">
        <f>H95*10^4*M95/C95</f>
        <v>252197381818.18182</v>
      </c>
      <c r="P95" s="1">
        <f t="shared" si="6"/>
        <v>1158744727.2727273</v>
      </c>
      <c r="Q95" s="1">
        <f>J95*10000*M95/C95</f>
        <v>783856727.27272725</v>
      </c>
    </row>
    <row r="96" spans="1:17" x14ac:dyDescent="0.2">
      <c r="A96" s="1" t="s">
        <v>28</v>
      </c>
      <c r="B96" s="1" t="s">
        <v>10</v>
      </c>
      <c r="C96" s="1">
        <v>454000</v>
      </c>
      <c r="D96" s="1">
        <v>12.5</v>
      </c>
      <c r="E96" s="1">
        <v>0.1</v>
      </c>
      <c r="F96" s="1">
        <v>0.1</v>
      </c>
      <c r="G96" s="2">
        <v>4600000</v>
      </c>
      <c r="H96" s="2">
        <v>4100000</v>
      </c>
      <c r="I96" s="2">
        <v>45000</v>
      </c>
      <c r="J96" s="2">
        <v>29000</v>
      </c>
      <c r="K96" s="1">
        <f t="shared" si="4"/>
        <v>0.97826086956521752</v>
      </c>
      <c r="L96" s="1">
        <f>J96/H96*100</f>
        <v>0.70731707317073178</v>
      </c>
      <c r="M96" s="5">
        <v>26911</v>
      </c>
      <c r="N96" s="1">
        <f t="shared" si="5"/>
        <v>2726665198.2378855</v>
      </c>
      <c r="O96" s="1">
        <f>H96*10^4*M96/C96</f>
        <v>2430288546.2555065</v>
      </c>
      <c r="P96" s="1">
        <f t="shared" si="6"/>
        <v>26673898.678414095</v>
      </c>
      <c r="Q96" s="1">
        <f>J96*10000*M96/C96</f>
        <v>17189845.814977974</v>
      </c>
    </row>
    <row r="97" spans="1:17" x14ac:dyDescent="0.2">
      <c r="A97" s="1" t="s">
        <v>28</v>
      </c>
      <c r="B97" s="1" t="s">
        <v>11</v>
      </c>
      <c r="C97" s="1">
        <v>62000</v>
      </c>
      <c r="D97" s="1">
        <v>10.9</v>
      </c>
      <c r="E97" s="1">
        <v>0</v>
      </c>
      <c r="F97" s="1">
        <v>0</v>
      </c>
      <c r="G97" s="2">
        <v>5400000</v>
      </c>
      <c r="H97" s="2">
        <v>4900000</v>
      </c>
      <c r="I97" s="2">
        <v>45000</v>
      </c>
      <c r="J97" s="2">
        <v>30000</v>
      </c>
      <c r="K97" s="1">
        <f t="shared" si="4"/>
        <v>0.83333333333333337</v>
      </c>
      <c r="L97" s="1">
        <f>J97/H97*100</f>
        <v>0.61224489795918369</v>
      </c>
      <c r="M97" s="5">
        <v>175609.9045</v>
      </c>
      <c r="N97" s="1">
        <f t="shared" si="5"/>
        <v>152950561983.87097</v>
      </c>
      <c r="O97" s="1">
        <f>H97*10^4*M97/C97</f>
        <v>138788472911.29031</v>
      </c>
      <c r="P97" s="1">
        <f t="shared" si="6"/>
        <v>1274588016.532258</v>
      </c>
      <c r="Q97" s="1">
        <f>J97*10000*M97/C97</f>
        <v>849725344.35483873</v>
      </c>
    </row>
    <row r="98" spans="1:17" x14ac:dyDescent="0.2">
      <c r="A98" s="1" t="s">
        <v>14</v>
      </c>
      <c r="B98" s="1" t="s">
        <v>12</v>
      </c>
      <c r="C98" s="1">
        <v>124000</v>
      </c>
      <c r="D98" s="1">
        <v>10</v>
      </c>
      <c r="E98" s="1">
        <v>1.2</v>
      </c>
      <c r="F98" s="1">
        <v>0</v>
      </c>
      <c r="G98" s="2">
        <v>2400000</v>
      </c>
      <c r="H98" s="2" t="s">
        <v>8</v>
      </c>
      <c r="I98" s="2">
        <v>33000</v>
      </c>
      <c r="J98" s="2">
        <v>29000</v>
      </c>
      <c r="K98" s="1">
        <f t="shared" ref="K98:K129" si="7">I98/G98*100</f>
        <v>1.375</v>
      </c>
      <c r="L98" s="1" t="s">
        <v>8</v>
      </c>
      <c r="M98" s="5">
        <v>36133</v>
      </c>
      <c r="N98" s="1">
        <f t="shared" si="5"/>
        <v>6993483870.967742</v>
      </c>
      <c r="O98" s="1" t="s">
        <v>8</v>
      </c>
      <c r="P98" s="1">
        <f t="shared" si="6"/>
        <v>96160403.225806445</v>
      </c>
      <c r="Q98" s="1">
        <f>J98*10000*M98/C98</f>
        <v>84504596.774193555</v>
      </c>
    </row>
    <row r="99" spans="1:17" x14ac:dyDescent="0.2">
      <c r="A99" s="1" t="s">
        <v>14</v>
      </c>
      <c r="B99" s="1" t="s">
        <v>32</v>
      </c>
      <c r="C99" s="1">
        <v>471000</v>
      </c>
      <c r="D99" s="1">
        <v>7.5</v>
      </c>
      <c r="E99" s="1">
        <v>2.8</v>
      </c>
      <c r="F99" s="1">
        <v>0</v>
      </c>
      <c r="G99" s="2">
        <v>1200000</v>
      </c>
      <c r="H99" s="2">
        <v>1000000</v>
      </c>
      <c r="I99" s="2">
        <v>51000</v>
      </c>
      <c r="J99" s="2">
        <v>40000</v>
      </c>
      <c r="K99" s="1">
        <f t="shared" si="7"/>
        <v>4.25</v>
      </c>
      <c r="L99" s="1">
        <f>J99/H99*100</f>
        <v>4</v>
      </c>
      <c r="M99" s="5">
        <v>164008.76894999901</v>
      </c>
      <c r="N99" s="1">
        <f t="shared" si="5"/>
        <v>4178567361.7834139</v>
      </c>
      <c r="O99" s="1">
        <f>H99*10^4*M99/C99</f>
        <v>3482139468.1528449</v>
      </c>
      <c r="P99" s="1">
        <f t="shared" si="6"/>
        <v>177589112.87579513</v>
      </c>
      <c r="Q99" s="1">
        <f>J99*10000*M99/C99</f>
        <v>139285578.7261138</v>
      </c>
    </row>
    <row r="100" spans="1:17" x14ac:dyDescent="0.2">
      <c r="A100" s="1" t="s">
        <v>14</v>
      </c>
      <c r="B100" s="1" t="s">
        <v>7</v>
      </c>
      <c r="C100" s="1">
        <v>64000</v>
      </c>
      <c r="D100" s="1">
        <v>7.4</v>
      </c>
      <c r="E100" s="1">
        <v>2.2000000000000002</v>
      </c>
      <c r="F100" s="1">
        <v>1.3</v>
      </c>
      <c r="G100" s="2">
        <v>900000</v>
      </c>
      <c r="H100" s="2">
        <v>700000</v>
      </c>
      <c r="I100" s="2">
        <v>24000</v>
      </c>
      <c r="J100" s="2">
        <v>21000</v>
      </c>
      <c r="K100" s="1">
        <f t="shared" si="7"/>
        <v>2.666666666666667</v>
      </c>
      <c r="L100" s="1">
        <f>J100/H100*100</f>
        <v>3</v>
      </c>
      <c r="M100" s="5">
        <v>28481.892074584899</v>
      </c>
      <c r="N100" s="1">
        <f t="shared" si="5"/>
        <v>4005266072.9885015</v>
      </c>
      <c r="O100" s="1">
        <f>H100*10^4*M100/C100</f>
        <v>3115206945.6577229</v>
      </c>
      <c r="P100" s="1">
        <f t="shared" si="6"/>
        <v>106807095.27969338</v>
      </c>
      <c r="Q100" s="1">
        <f>J100*10000*M100/C100</f>
        <v>93456208.369731709</v>
      </c>
    </row>
    <row r="101" spans="1:17" x14ac:dyDescent="0.2">
      <c r="A101" s="1" t="s">
        <v>14</v>
      </c>
      <c r="B101" s="1" t="s">
        <v>9</v>
      </c>
      <c r="C101" s="1">
        <v>55000</v>
      </c>
      <c r="D101" s="1">
        <v>7.7</v>
      </c>
      <c r="E101" s="1">
        <v>0</v>
      </c>
      <c r="F101" s="1">
        <v>0</v>
      </c>
      <c r="G101" s="2">
        <v>4000000</v>
      </c>
      <c r="H101" s="2">
        <v>3900000</v>
      </c>
      <c r="I101" s="2">
        <v>37000</v>
      </c>
      <c r="J101" s="2" t="s">
        <v>8</v>
      </c>
      <c r="K101" s="1">
        <f t="shared" si="7"/>
        <v>0.92499999999999993</v>
      </c>
      <c r="L101" s="1" t="s">
        <v>8</v>
      </c>
      <c r="M101" s="5">
        <v>11907</v>
      </c>
      <c r="N101" s="1">
        <f t="shared" si="5"/>
        <v>8659636363.636364</v>
      </c>
      <c r="O101" s="1">
        <f>H101*10^4*M101/C101</f>
        <v>8443145454.545455</v>
      </c>
      <c r="P101" s="1">
        <f t="shared" si="6"/>
        <v>80101636.36363636</v>
      </c>
      <c r="Q101" s="1" t="s">
        <v>8</v>
      </c>
    </row>
    <row r="102" spans="1:17" x14ac:dyDescent="0.2">
      <c r="A102" s="1" t="s">
        <v>14</v>
      </c>
      <c r="B102" s="1" t="s">
        <v>10</v>
      </c>
      <c r="C102" s="1">
        <v>454000</v>
      </c>
      <c r="D102" s="1">
        <v>8.6999999999999993</v>
      </c>
      <c r="E102" s="1">
        <v>1.9</v>
      </c>
      <c r="F102" s="1">
        <v>0</v>
      </c>
      <c r="G102" s="2">
        <v>1300000</v>
      </c>
      <c r="H102" s="2">
        <v>1200000</v>
      </c>
      <c r="I102" s="2">
        <v>49000</v>
      </c>
      <c r="J102" s="2">
        <v>42000</v>
      </c>
      <c r="K102" s="1">
        <f t="shared" si="7"/>
        <v>3.7692307692307692</v>
      </c>
      <c r="L102" s="1">
        <f>J102/H102*100</f>
        <v>3.5000000000000004</v>
      </c>
      <c r="M102" s="5">
        <v>127945</v>
      </c>
      <c r="N102" s="1">
        <f t="shared" si="5"/>
        <v>3663623348.017621</v>
      </c>
      <c r="O102" s="1">
        <f>H102*10^4*M102/C102</f>
        <v>3381806167.4008813</v>
      </c>
      <c r="P102" s="1">
        <f t="shared" si="6"/>
        <v>138090418.50220263</v>
      </c>
      <c r="Q102" s="1">
        <f>J102*10000*M102/C102</f>
        <v>118363215.85903084</v>
      </c>
    </row>
    <row r="103" spans="1:17" x14ac:dyDescent="0.2">
      <c r="A103" s="1" t="s">
        <v>14</v>
      </c>
      <c r="B103" s="1" t="s">
        <v>11</v>
      </c>
      <c r="C103" s="1">
        <v>62000</v>
      </c>
      <c r="D103" s="1">
        <v>7.9</v>
      </c>
      <c r="E103" s="1">
        <v>0.4</v>
      </c>
      <c r="F103" s="1">
        <v>0</v>
      </c>
      <c r="G103" s="2">
        <v>1200000</v>
      </c>
      <c r="H103" s="2">
        <v>800000</v>
      </c>
      <c r="I103" s="2">
        <v>18000</v>
      </c>
      <c r="J103" s="2">
        <v>12000</v>
      </c>
      <c r="K103" s="1">
        <f t="shared" si="7"/>
        <v>1.5</v>
      </c>
      <c r="L103" s="1">
        <f>J103/H103*100</f>
        <v>1.5</v>
      </c>
      <c r="M103" s="5">
        <v>23490</v>
      </c>
      <c r="N103" s="1">
        <f t="shared" si="5"/>
        <v>4546451612.9032259</v>
      </c>
      <c r="O103" s="1">
        <f>H103*10^4*M103/C103</f>
        <v>3030967741.9354839</v>
      </c>
      <c r="P103" s="1">
        <f t="shared" si="6"/>
        <v>68196774.193548381</v>
      </c>
      <c r="Q103" s="1">
        <f>J103*10000*M103/C103</f>
        <v>45464516.129032262</v>
      </c>
    </row>
    <row r="104" spans="1:17" x14ac:dyDescent="0.2">
      <c r="A104" s="1" t="s">
        <v>17</v>
      </c>
      <c r="B104" s="1" t="s">
        <v>12</v>
      </c>
      <c r="C104" s="1">
        <v>124000</v>
      </c>
      <c r="D104" s="1">
        <v>12.1</v>
      </c>
      <c r="E104" s="1">
        <v>0</v>
      </c>
      <c r="F104" s="1">
        <v>0</v>
      </c>
      <c r="G104" s="2">
        <v>3000000</v>
      </c>
      <c r="H104" s="2">
        <v>1800000</v>
      </c>
      <c r="I104" s="2">
        <v>39000</v>
      </c>
      <c r="J104" s="2">
        <v>27000</v>
      </c>
      <c r="K104" s="1">
        <f t="shared" si="7"/>
        <v>1.3</v>
      </c>
      <c r="L104" s="1">
        <f>J104/H104*100</f>
        <v>1.5</v>
      </c>
      <c r="M104" s="5">
        <v>24737.687480000001</v>
      </c>
      <c r="N104" s="1">
        <f t="shared" si="5"/>
        <v>5984924390.3225803</v>
      </c>
      <c r="O104" s="1">
        <f>H104*10^4*M104/C104</f>
        <v>3590954634.1935482</v>
      </c>
      <c r="P104" s="1">
        <f t="shared" si="6"/>
        <v>77804017.074193552</v>
      </c>
      <c r="Q104" s="1">
        <f>J104*10000*M104/C104</f>
        <v>53864319.512903228</v>
      </c>
    </row>
    <row r="105" spans="1:17" x14ac:dyDescent="0.2">
      <c r="A105" s="1" t="s">
        <v>17</v>
      </c>
      <c r="B105" s="1" t="s">
        <v>32</v>
      </c>
      <c r="C105" s="1">
        <v>471000</v>
      </c>
      <c r="D105" s="1">
        <v>12.1</v>
      </c>
      <c r="E105" s="1">
        <v>3.6</v>
      </c>
      <c r="F105" s="1">
        <v>0</v>
      </c>
      <c r="G105" s="2">
        <v>3100000</v>
      </c>
      <c r="H105" s="2">
        <v>2400000</v>
      </c>
      <c r="I105" s="2">
        <v>43000</v>
      </c>
      <c r="J105" s="2">
        <v>38000</v>
      </c>
      <c r="K105" s="1">
        <f t="shared" si="7"/>
        <v>1.3870967741935483</v>
      </c>
      <c r="L105" s="1">
        <f>J105/H105*100</f>
        <v>1.5833333333333335</v>
      </c>
      <c r="M105" s="5">
        <v>12979</v>
      </c>
      <c r="N105" s="1">
        <f t="shared" si="5"/>
        <v>854244161.35881102</v>
      </c>
      <c r="O105" s="1">
        <f>H105*10^4*M105/C105</f>
        <v>661350318.47133756</v>
      </c>
      <c r="P105" s="1">
        <f t="shared" si="6"/>
        <v>11849193.205944799</v>
      </c>
      <c r="Q105" s="1">
        <f>J105*10000*M105/C105</f>
        <v>10471380.042462844</v>
      </c>
    </row>
    <row r="106" spans="1:17" x14ac:dyDescent="0.2">
      <c r="A106" s="1" t="s">
        <v>17</v>
      </c>
      <c r="B106" s="1" t="s">
        <v>7</v>
      </c>
      <c r="C106" s="1">
        <v>64000</v>
      </c>
      <c r="D106" s="1">
        <v>10.199999999999999</v>
      </c>
      <c r="E106" s="1">
        <v>2.1</v>
      </c>
      <c r="F106" s="1">
        <v>0</v>
      </c>
      <c r="G106" s="2">
        <v>1600000</v>
      </c>
      <c r="H106" s="2">
        <v>1200000</v>
      </c>
      <c r="I106" s="2">
        <v>27000</v>
      </c>
      <c r="J106" s="2">
        <v>26000</v>
      </c>
      <c r="K106" s="1">
        <f t="shared" si="7"/>
        <v>1.6875</v>
      </c>
      <c r="L106" s="1">
        <f>J106/H106*100</f>
        <v>2.166666666666667</v>
      </c>
      <c r="M106" s="5">
        <v>160760</v>
      </c>
      <c r="N106" s="1">
        <f t="shared" si="5"/>
        <v>40190000000</v>
      </c>
      <c r="O106" s="1">
        <f>H106*10^4*M106/C106</f>
        <v>30142500000</v>
      </c>
      <c r="P106" s="1">
        <f t="shared" si="6"/>
        <v>678206250</v>
      </c>
      <c r="Q106" s="1">
        <f>J106*10000*M106/C106</f>
        <v>653087500</v>
      </c>
    </row>
    <row r="107" spans="1:17" x14ac:dyDescent="0.2">
      <c r="A107" s="1" t="s">
        <v>17</v>
      </c>
      <c r="B107" s="1" t="s">
        <v>9</v>
      </c>
      <c r="C107" s="1">
        <v>55000</v>
      </c>
      <c r="D107" s="1">
        <v>15.8</v>
      </c>
      <c r="E107" s="1">
        <v>4.5999999999999996</v>
      </c>
      <c r="F107" s="1">
        <v>0</v>
      </c>
      <c r="G107" s="2">
        <v>3500000</v>
      </c>
      <c r="H107" s="2">
        <v>3400000</v>
      </c>
      <c r="I107" s="2">
        <v>77000</v>
      </c>
      <c r="J107" s="2">
        <v>34000</v>
      </c>
      <c r="K107" s="1">
        <f t="shared" si="7"/>
        <v>2.1999999999999997</v>
      </c>
      <c r="L107" s="1">
        <f>J107/H107*100</f>
        <v>1</v>
      </c>
      <c r="M107" s="5">
        <v>19235</v>
      </c>
      <c r="N107" s="1">
        <f t="shared" si="5"/>
        <v>12240454545.454546</v>
      </c>
      <c r="O107" s="1">
        <f>H107*10^4*M107/C107</f>
        <v>11890727272.727272</v>
      </c>
      <c r="P107" s="1">
        <f t="shared" si="6"/>
        <v>269290000</v>
      </c>
      <c r="Q107" s="1">
        <f>J107*10000*M107/C107</f>
        <v>118907272.72727273</v>
      </c>
    </row>
    <row r="108" spans="1:17" x14ac:dyDescent="0.2">
      <c r="A108" s="1" t="s">
        <v>17</v>
      </c>
      <c r="B108" s="1" t="s">
        <v>10</v>
      </c>
      <c r="C108" s="1">
        <v>454000</v>
      </c>
      <c r="D108" s="1">
        <v>12.7</v>
      </c>
      <c r="E108" s="1">
        <v>0</v>
      </c>
      <c r="F108" s="1">
        <v>0</v>
      </c>
      <c r="G108" s="2">
        <v>3000000</v>
      </c>
      <c r="H108" s="2">
        <v>2700000</v>
      </c>
      <c r="I108" s="2">
        <v>55000</v>
      </c>
      <c r="J108" s="2">
        <v>48000</v>
      </c>
      <c r="K108" s="1">
        <f t="shared" si="7"/>
        <v>1.8333333333333333</v>
      </c>
      <c r="L108" s="1">
        <f>J108/H108*100</f>
        <v>1.7777777777777777</v>
      </c>
      <c r="M108" s="5">
        <v>43841</v>
      </c>
      <c r="N108" s="1">
        <f t="shared" si="5"/>
        <v>2896982378.8546257</v>
      </c>
      <c r="O108" s="1">
        <f>H108*10^4*M108/C108</f>
        <v>2607284140.9691629</v>
      </c>
      <c r="P108" s="1">
        <f t="shared" si="6"/>
        <v>53111343.612334803</v>
      </c>
      <c r="Q108" s="1">
        <f>J108*10000*M108/C108</f>
        <v>46351718.061674006</v>
      </c>
    </row>
    <row r="109" spans="1:17" x14ac:dyDescent="0.2">
      <c r="A109" s="1" t="s">
        <v>17</v>
      </c>
      <c r="B109" s="1" t="s">
        <v>11</v>
      </c>
      <c r="C109" s="1">
        <v>62000</v>
      </c>
      <c r="D109" s="1">
        <v>11.7</v>
      </c>
      <c r="E109" s="1">
        <v>1.7</v>
      </c>
      <c r="F109" s="1">
        <v>0</v>
      </c>
      <c r="G109" s="2">
        <v>3200000</v>
      </c>
      <c r="H109" s="2">
        <v>3100000</v>
      </c>
      <c r="I109" s="2">
        <v>54000</v>
      </c>
      <c r="J109" s="2">
        <v>45000</v>
      </c>
      <c r="K109" s="1">
        <f t="shared" si="7"/>
        <v>1.6875</v>
      </c>
      <c r="L109" s="1">
        <f>J109/H109*100</f>
        <v>1.4516129032258065</v>
      </c>
      <c r="M109" s="5">
        <v>167371.4057</v>
      </c>
      <c r="N109" s="1">
        <f t="shared" si="5"/>
        <v>86385241651.6129</v>
      </c>
      <c r="O109" s="1">
        <f>H109*10^4*M109/C109</f>
        <v>83685702850</v>
      </c>
      <c r="P109" s="1">
        <f t="shared" si="6"/>
        <v>1457750952.8709676</v>
      </c>
      <c r="Q109" s="1">
        <f>J109*10000*M109/C109</f>
        <v>1214792460.7258065</v>
      </c>
    </row>
    <row r="110" spans="1:17" x14ac:dyDescent="0.2">
      <c r="A110" s="1" t="s">
        <v>23</v>
      </c>
      <c r="B110" s="1" t="s">
        <v>12</v>
      </c>
      <c r="C110" s="1">
        <v>124000</v>
      </c>
      <c r="D110" s="1">
        <v>13.3</v>
      </c>
      <c r="E110" s="1">
        <v>0</v>
      </c>
      <c r="F110" s="1">
        <v>0</v>
      </c>
      <c r="G110" s="2">
        <v>2700000</v>
      </c>
      <c r="H110" s="2">
        <v>2500000</v>
      </c>
      <c r="I110" s="2">
        <v>52000</v>
      </c>
      <c r="J110" s="2">
        <v>46000</v>
      </c>
      <c r="K110" s="1">
        <f t="shared" si="7"/>
        <v>1.925925925925926</v>
      </c>
      <c r="L110" s="1">
        <f>J110/H110*100</f>
        <v>1.8399999999999999</v>
      </c>
      <c r="M110" s="5">
        <v>33791</v>
      </c>
      <c r="N110" s="1">
        <f t="shared" si="5"/>
        <v>7357717741.9354839</v>
      </c>
      <c r="O110" s="1">
        <f>H110*10^4*M110/C110</f>
        <v>6812701612.9032259</v>
      </c>
      <c r="P110" s="1">
        <f t="shared" si="6"/>
        <v>141704193.54838711</v>
      </c>
      <c r="Q110" s="1">
        <f>J110*10000*M110/C110</f>
        <v>125353709.67741935</v>
      </c>
    </row>
    <row r="111" spans="1:17" x14ac:dyDescent="0.2">
      <c r="A111" s="1" t="s">
        <v>23</v>
      </c>
      <c r="B111" s="1" t="s">
        <v>32</v>
      </c>
      <c r="C111" s="1">
        <v>471000</v>
      </c>
      <c r="D111" s="1">
        <v>11.3</v>
      </c>
      <c r="E111" s="1">
        <v>0</v>
      </c>
      <c r="F111" s="1">
        <v>0</v>
      </c>
      <c r="G111" s="2">
        <v>2800000</v>
      </c>
      <c r="H111" s="2">
        <v>2600000</v>
      </c>
      <c r="I111" s="2">
        <v>83000</v>
      </c>
      <c r="J111" s="2">
        <v>60000</v>
      </c>
      <c r="K111" s="1">
        <f t="shared" si="7"/>
        <v>2.9642857142857144</v>
      </c>
      <c r="L111" s="1">
        <f>J111/H111*100</f>
        <v>2.3076923076923079</v>
      </c>
      <c r="M111" s="5">
        <v>134358.94630000001</v>
      </c>
      <c r="N111" s="1">
        <f t="shared" si="5"/>
        <v>7987368357.5371561</v>
      </c>
      <c r="O111" s="1">
        <f>H111*10^4*M111/C111</f>
        <v>7416842046.284502</v>
      </c>
      <c r="P111" s="1">
        <f t="shared" si="6"/>
        <v>236768419.16985142</v>
      </c>
      <c r="Q111" s="1">
        <f>J111*10000*M111/C111</f>
        <v>171157893.37579617</v>
      </c>
    </row>
    <row r="112" spans="1:17" x14ac:dyDescent="0.2">
      <c r="A112" s="1" t="s">
        <v>23</v>
      </c>
      <c r="B112" s="1" t="s">
        <v>7</v>
      </c>
      <c r="C112" s="1">
        <v>64000</v>
      </c>
      <c r="D112" s="1">
        <v>9.9</v>
      </c>
      <c r="E112" s="1">
        <v>0</v>
      </c>
      <c r="F112" s="1">
        <v>0</v>
      </c>
      <c r="G112" s="2">
        <v>4000000</v>
      </c>
      <c r="H112" s="2">
        <v>3900000</v>
      </c>
      <c r="I112" s="2">
        <v>89000</v>
      </c>
      <c r="J112" s="2">
        <v>50000</v>
      </c>
      <c r="K112" s="1">
        <f t="shared" si="7"/>
        <v>2.2250000000000001</v>
      </c>
      <c r="L112" s="1">
        <f>J112/H112*100</f>
        <v>1.2820512820512819</v>
      </c>
      <c r="M112" s="5">
        <v>14576.99696</v>
      </c>
      <c r="N112" s="1">
        <f t="shared" si="5"/>
        <v>9110623100</v>
      </c>
      <c r="O112" s="1">
        <f>H112*10^4*M112/C112</f>
        <v>8882857522.5</v>
      </c>
      <c r="P112" s="1">
        <f t="shared" si="6"/>
        <v>202711363.97499999</v>
      </c>
      <c r="Q112" s="1">
        <f>J112*10000*M112/C112</f>
        <v>113882788.75</v>
      </c>
    </row>
    <row r="113" spans="1:17" x14ac:dyDescent="0.2">
      <c r="A113" s="1" t="s">
        <v>23</v>
      </c>
      <c r="B113" s="1" t="s">
        <v>9</v>
      </c>
      <c r="C113" s="1">
        <v>55000</v>
      </c>
      <c r="D113" s="1">
        <v>11.3</v>
      </c>
      <c r="E113" s="1">
        <v>0</v>
      </c>
      <c r="F113" s="1">
        <v>0</v>
      </c>
      <c r="G113" s="2">
        <v>3100000</v>
      </c>
      <c r="H113" s="2">
        <v>2500000</v>
      </c>
      <c r="I113" s="2">
        <v>25000</v>
      </c>
      <c r="J113" s="2">
        <v>22000</v>
      </c>
      <c r="K113" s="1">
        <f t="shared" si="7"/>
        <v>0.80645161290322576</v>
      </c>
      <c r="L113" s="1">
        <f>J113/H113*100</f>
        <v>0.88</v>
      </c>
      <c r="M113" s="5">
        <v>12383</v>
      </c>
      <c r="N113" s="1">
        <f t="shared" si="5"/>
        <v>6979509090.909091</v>
      </c>
      <c r="O113" s="1">
        <f>H113*10^4*M113/C113</f>
        <v>5628636363.636364</v>
      </c>
      <c r="P113" s="1">
        <f t="shared" si="6"/>
        <v>56286363.636363633</v>
      </c>
      <c r="Q113" s="1">
        <f>J113*10000*M113/C113</f>
        <v>49532000</v>
      </c>
    </row>
    <row r="114" spans="1:17" x14ac:dyDescent="0.2">
      <c r="A114" s="1" t="s">
        <v>23</v>
      </c>
      <c r="B114" s="1" t="s">
        <v>10</v>
      </c>
      <c r="C114" s="1">
        <v>454000</v>
      </c>
      <c r="D114" s="1">
        <v>12.2</v>
      </c>
      <c r="E114" s="1">
        <v>0</v>
      </c>
      <c r="F114" s="1">
        <v>0</v>
      </c>
      <c r="G114" s="2">
        <v>2500000</v>
      </c>
      <c r="H114" s="2">
        <v>2200000</v>
      </c>
      <c r="I114" s="2">
        <v>85000</v>
      </c>
      <c r="J114" s="2">
        <v>62000</v>
      </c>
      <c r="K114" s="1">
        <f t="shared" si="7"/>
        <v>3.4000000000000004</v>
      </c>
      <c r="L114" s="1">
        <f>J114/H114*100</f>
        <v>2.8181818181818183</v>
      </c>
      <c r="M114" s="5">
        <v>138426</v>
      </c>
      <c r="N114" s="1">
        <f t="shared" si="5"/>
        <v>7622577092.511013</v>
      </c>
      <c r="O114" s="1">
        <f>H114*10^4*M114/C114</f>
        <v>6707867841.4096918</v>
      </c>
      <c r="P114" s="1">
        <f t="shared" si="6"/>
        <v>259167621.14537445</v>
      </c>
      <c r="Q114" s="1">
        <f>J114*10000*M114/C114</f>
        <v>189039911.89427313</v>
      </c>
    </row>
    <row r="115" spans="1:17" x14ac:dyDescent="0.2">
      <c r="A115" s="1" t="s">
        <v>23</v>
      </c>
      <c r="B115" s="1" t="s">
        <v>11</v>
      </c>
      <c r="C115" s="1">
        <v>62000</v>
      </c>
      <c r="D115" s="1">
        <v>10.6</v>
      </c>
      <c r="E115" s="1">
        <v>0</v>
      </c>
      <c r="F115" s="1">
        <v>0</v>
      </c>
      <c r="G115" s="2">
        <v>2700000</v>
      </c>
      <c r="H115" s="2">
        <v>2400000</v>
      </c>
      <c r="I115" s="2">
        <v>58000</v>
      </c>
      <c r="J115" s="2">
        <v>48000</v>
      </c>
      <c r="K115" s="1">
        <f t="shared" si="7"/>
        <v>2.1481481481481479</v>
      </c>
      <c r="L115" s="1">
        <f>J115/H115*100</f>
        <v>2</v>
      </c>
      <c r="M115" s="5">
        <v>16120</v>
      </c>
      <c r="N115" s="1">
        <f t="shared" si="5"/>
        <v>7020000000</v>
      </c>
      <c r="O115" s="1">
        <f>H115*10^4*M115/C115</f>
        <v>6240000000</v>
      </c>
      <c r="P115" s="1">
        <f t="shared" si="6"/>
        <v>150800000</v>
      </c>
      <c r="Q115" s="1">
        <f>J115*10000*M115/C115</f>
        <v>124800000</v>
      </c>
    </row>
    <row r="116" spans="1:17" x14ac:dyDescent="0.2">
      <c r="A116" s="1" t="s">
        <v>31</v>
      </c>
      <c r="B116" s="1" t="s">
        <v>12</v>
      </c>
      <c r="C116" s="1">
        <v>124000</v>
      </c>
      <c r="D116" s="1">
        <v>12.4</v>
      </c>
      <c r="E116" s="1">
        <v>48.4</v>
      </c>
      <c r="F116" s="1">
        <v>5.4</v>
      </c>
      <c r="G116" s="2">
        <v>800000</v>
      </c>
      <c r="H116" s="2">
        <v>400000</v>
      </c>
      <c r="I116" s="2">
        <f>14*10^3</f>
        <v>14000</v>
      </c>
      <c r="J116" s="2">
        <f>7*10^3</f>
        <v>7000</v>
      </c>
      <c r="K116" s="1">
        <f t="shared" si="7"/>
        <v>1.7500000000000002</v>
      </c>
      <c r="L116" s="1">
        <f>J116/H116*100</f>
        <v>1.7500000000000002</v>
      </c>
      <c r="M116" s="5">
        <v>63593</v>
      </c>
      <c r="N116" s="1">
        <f t="shared" si="5"/>
        <v>4102774193.5483871</v>
      </c>
      <c r="O116" s="1">
        <f>H116*10^4*M116/C116</f>
        <v>2051387096.7741935</v>
      </c>
      <c r="P116" s="1">
        <f t="shared" si="6"/>
        <v>71798548.387096778</v>
      </c>
      <c r="Q116" s="1">
        <f>J116*10000*M116/C116</f>
        <v>35899274.193548389</v>
      </c>
    </row>
    <row r="117" spans="1:17" x14ac:dyDescent="0.2">
      <c r="A117" s="1" t="s">
        <v>31</v>
      </c>
      <c r="B117" s="1" t="s">
        <v>32</v>
      </c>
      <c r="C117" s="1">
        <v>471000</v>
      </c>
      <c r="D117" s="1">
        <v>9.1</v>
      </c>
      <c r="E117" s="1">
        <v>35.799999999999997</v>
      </c>
      <c r="F117" s="1">
        <v>7</v>
      </c>
      <c r="G117" s="2">
        <v>1500000</v>
      </c>
      <c r="H117" s="2">
        <v>1200000</v>
      </c>
      <c r="I117" s="2">
        <f>28*10^3</f>
        <v>28000</v>
      </c>
      <c r="J117" s="2">
        <f>23*10^3</f>
        <v>23000</v>
      </c>
      <c r="K117" s="1">
        <f t="shared" si="7"/>
        <v>1.8666666666666669</v>
      </c>
      <c r="L117" s="1">
        <f>J117/H117*100</f>
        <v>1.9166666666666665</v>
      </c>
      <c r="M117" s="5">
        <v>330658.518199999</v>
      </c>
      <c r="N117" s="1">
        <f t="shared" si="5"/>
        <v>10530526057.324808</v>
      </c>
      <c r="O117" s="1">
        <f>H117*10^4*M117/C117</f>
        <v>8424420845.8598471</v>
      </c>
      <c r="P117" s="1">
        <f t="shared" si="6"/>
        <v>196569819.73672977</v>
      </c>
      <c r="Q117" s="1">
        <f>J117*10000*M117/C117</f>
        <v>161468066.21231374</v>
      </c>
    </row>
    <row r="118" spans="1:17" x14ac:dyDescent="0.2">
      <c r="A118" s="1" t="s">
        <v>31</v>
      </c>
      <c r="B118" s="1" t="s">
        <v>7</v>
      </c>
      <c r="C118" s="1">
        <v>64000</v>
      </c>
      <c r="D118" s="1">
        <v>8.5</v>
      </c>
      <c r="E118" s="1">
        <v>24.3</v>
      </c>
      <c r="F118" s="1">
        <v>12.8</v>
      </c>
      <c r="G118" s="2">
        <v>2800000</v>
      </c>
      <c r="H118" s="2">
        <v>1800000</v>
      </c>
      <c r="I118" s="2">
        <v>46000</v>
      </c>
      <c r="J118" s="2">
        <v>43000</v>
      </c>
      <c r="K118" s="1">
        <f t="shared" si="7"/>
        <v>1.6428571428571428</v>
      </c>
      <c r="L118" s="1">
        <f>J118/H118*100</f>
        <v>2.3888888888888888</v>
      </c>
      <c r="M118" s="5">
        <v>37888.884689330996</v>
      </c>
      <c r="N118" s="1">
        <f t="shared" si="5"/>
        <v>16576387051.58231</v>
      </c>
      <c r="O118" s="1">
        <f>H118*10^4*M118/C118</f>
        <v>10656248818.874342</v>
      </c>
      <c r="P118" s="1">
        <f t="shared" si="6"/>
        <v>272326358.70456654</v>
      </c>
      <c r="Q118" s="1">
        <f>J118*10000*M118/C118</f>
        <v>254565944.00644264</v>
      </c>
    </row>
    <row r="119" spans="1:17" x14ac:dyDescent="0.2">
      <c r="A119" s="1" t="s">
        <v>31</v>
      </c>
      <c r="B119" s="1" t="s">
        <v>9</v>
      </c>
      <c r="C119" s="1">
        <v>55000</v>
      </c>
      <c r="D119" s="1">
        <v>9.4</v>
      </c>
      <c r="E119" s="1">
        <v>8</v>
      </c>
      <c r="F119" s="1">
        <v>2.2999999999999998</v>
      </c>
      <c r="G119" s="2">
        <v>2600000</v>
      </c>
      <c r="H119" s="2">
        <v>2400000</v>
      </c>
      <c r="I119" s="2">
        <f>43*10^3</f>
        <v>43000</v>
      </c>
      <c r="J119" s="3">
        <f>28*10^3</f>
        <v>28000</v>
      </c>
      <c r="K119" s="1">
        <f t="shared" si="7"/>
        <v>1.653846153846154</v>
      </c>
      <c r="L119" s="1">
        <f>J119/H119*100</f>
        <v>1.1666666666666667</v>
      </c>
      <c r="M119" s="5">
        <v>14949</v>
      </c>
      <c r="N119" s="1">
        <f t="shared" si="5"/>
        <v>7066800000</v>
      </c>
      <c r="O119" s="1">
        <f>H119*10^4*M119/C119</f>
        <v>6523200000</v>
      </c>
      <c r="P119" s="1">
        <f t="shared" si="6"/>
        <v>116874000</v>
      </c>
      <c r="Q119" s="1">
        <f>J119*10000*M119/C119</f>
        <v>76104000</v>
      </c>
    </row>
    <row r="120" spans="1:17" x14ac:dyDescent="0.2">
      <c r="A120" s="1" t="s">
        <v>31</v>
      </c>
      <c r="B120" s="1" t="s">
        <v>10</v>
      </c>
      <c r="C120" s="1">
        <v>454000</v>
      </c>
      <c r="D120" s="1">
        <v>11.8</v>
      </c>
      <c r="E120" s="1">
        <v>10.7</v>
      </c>
      <c r="F120" s="1">
        <v>0</v>
      </c>
      <c r="G120" s="2">
        <v>2700000</v>
      </c>
      <c r="H120" s="2">
        <v>2600000</v>
      </c>
      <c r="I120" s="2">
        <f>77*10^3</f>
        <v>77000</v>
      </c>
      <c r="J120" s="3">
        <f>35*10^3</f>
        <v>35000</v>
      </c>
      <c r="K120" s="1">
        <f t="shared" si="7"/>
        <v>2.8518518518518521</v>
      </c>
      <c r="L120" s="1">
        <f>J120/H120*100</f>
        <v>1.3461538461538463</v>
      </c>
      <c r="M120" s="5">
        <v>117997</v>
      </c>
      <c r="N120" s="1">
        <f t="shared" si="5"/>
        <v>7017442731.2775326</v>
      </c>
      <c r="O120" s="1">
        <f>H120*10^4*M120/C120</f>
        <v>6757537444.9339209</v>
      </c>
      <c r="P120" s="1">
        <f t="shared" si="6"/>
        <v>200127070.4845815</v>
      </c>
      <c r="Q120" s="1">
        <f>J120*10000*M120/C120</f>
        <v>90966850.220264316</v>
      </c>
    </row>
    <row r="121" spans="1:17" x14ac:dyDescent="0.2">
      <c r="A121" s="1" t="s">
        <v>31</v>
      </c>
      <c r="B121" s="1" t="s">
        <v>11</v>
      </c>
      <c r="C121" s="1">
        <v>62000</v>
      </c>
      <c r="D121" s="1">
        <v>9.6999999999999993</v>
      </c>
      <c r="E121" s="1">
        <v>41.3</v>
      </c>
      <c r="F121" s="1">
        <v>0.4</v>
      </c>
      <c r="G121" s="3">
        <v>2000000</v>
      </c>
      <c r="H121" s="4">
        <v>1500000</v>
      </c>
      <c r="I121" s="2">
        <f>108*10^3</f>
        <v>108000</v>
      </c>
      <c r="J121" s="3">
        <f>13*10^3</f>
        <v>13000</v>
      </c>
      <c r="K121" s="1">
        <f t="shared" si="7"/>
        <v>5.4</v>
      </c>
      <c r="L121" s="1">
        <f>J121/H121*100</f>
        <v>0.86666666666666659</v>
      </c>
      <c r="M121" s="5">
        <v>36048</v>
      </c>
      <c r="N121" s="1">
        <f t="shared" si="5"/>
        <v>11628387096.774193</v>
      </c>
      <c r="O121" s="1">
        <f>H121*10^4*M121/C121</f>
        <v>8721290322.5806446</v>
      </c>
      <c r="P121" s="1">
        <f t="shared" si="6"/>
        <v>627932903.22580647</v>
      </c>
      <c r="Q121" s="1">
        <f>J121*10000*M121/C121</f>
        <v>75584516.129032254</v>
      </c>
    </row>
    <row r="122" spans="1:17" x14ac:dyDescent="0.2">
      <c r="A122" s="1" t="s">
        <v>33</v>
      </c>
      <c r="B122" s="1" t="s">
        <v>12</v>
      </c>
      <c r="C122" s="1">
        <v>124000</v>
      </c>
      <c r="D122" s="1">
        <v>14.1</v>
      </c>
      <c r="E122" s="1">
        <v>9.8000000000000007</v>
      </c>
      <c r="F122" s="1">
        <v>3.1</v>
      </c>
      <c r="G122" s="2">
        <v>1700000</v>
      </c>
      <c r="H122" s="2">
        <v>900000</v>
      </c>
      <c r="I122" s="2">
        <f>24*10^3</f>
        <v>24000</v>
      </c>
      <c r="J122" s="2">
        <f>21*10^3</f>
        <v>21000</v>
      </c>
      <c r="K122" s="1">
        <f t="shared" si="7"/>
        <v>1.411764705882353</v>
      </c>
      <c r="L122" s="1">
        <f>J122/H122*100</f>
        <v>2.3333333333333335</v>
      </c>
      <c r="M122" s="5">
        <v>45559</v>
      </c>
      <c r="N122" s="1">
        <f t="shared" si="5"/>
        <v>6245991935.4838705</v>
      </c>
      <c r="O122" s="1">
        <f>H122*10^4*M122/C122</f>
        <v>3306701612.9032259</v>
      </c>
      <c r="P122" s="1">
        <f t="shared" si="6"/>
        <v>88178709.67741935</v>
      </c>
      <c r="Q122" s="1">
        <f>J122*10000*M122/C122</f>
        <v>77156370.967741936</v>
      </c>
    </row>
    <row r="123" spans="1:17" x14ac:dyDescent="0.2">
      <c r="A123" s="1" t="s">
        <v>33</v>
      </c>
      <c r="B123" s="1" t="s">
        <v>32</v>
      </c>
      <c r="C123" s="1">
        <v>471000</v>
      </c>
      <c r="D123" s="1">
        <v>12.2</v>
      </c>
      <c r="E123" s="1">
        <v>9.6</v>
      </c>
      <c r="F123" s="1">
        <v>2.9</v>
      </c>
      <c r="G123" s="2">
        <v>3000000</v>
      </c>
      <c r="H123" s="2">
        <v>2300000</v>
      </c>
      <c r="I123" s="2">
        <f>31*10^3</f>
        <v>31000</v>
      </c>
      <c r="J123" s="2">
        <f>25*10^3</f>
        <v>25000</v>
      </c>
      <c r="K123" s="1">
        <f t="shared" si="7"/>
        <v>1.0333333333333332</v>
      </c>
      <c r="L123" s="1">
        <f>J123/H123*100</f>
        <v>1.0869565217391304</v>
      </c>
      <c r="M123" s="5">
        <v>196026.22065</v>
      </c>
      <c r="N123" s="1">
        <f t="shared" si="5"/>
        <v>12485746538.21656</v>
      </c>
      <c r="O123" s="1">
        <f>H123*10^4*M123/C123</f>
        <v>9572405679.2993622</v>
      </c>
      <c r="P123" s="1">
        <f t="shared" si="6"/>
        <v>129019380.89490446</v>
      </c>
      <c r="Q123" s="1">
        <f>J123*10000*M123/C123</f>
        <v>104047887.81847134</v>
      </c>
    </row>
    <row r="124" spans="1:17" x14ac:dyDescent="0.2">
      <c r="A124" s="1" t="s">
        <v>33</v>
      </c>
      <c r="B124" s="1" t="s">
        <v>7</v>
      </c>
      <c r="C124" s="1">
        <v>64000</v>
      </c>
      <c r="D124" s="1">
        <v>12.7</v>
      </c>
      <c r="E124" s="1">
        <v>4.2</v>
      </c>
      <c r="F124" s="1">
        <v>0.2</v>
      </c>
      <c r="G124" s="2">
        <v>4500000</v>
      </c>
      <c r="H124" s="2">
        <v>3700000</v>
      </c>
      <c r="I124" s="2">
        <v>52000</v>
      </c>
      <c r="J124" s="2">
        <v>50000</v>
      </c>
      <c r="K124" s="1">
        <f t="shared" si="7"/>
        <v>1.1555555555555554</v>
      </c>
      <c r="L124" s="1">
        <f>J124/H124*100</f>
        <v>1.3513513513513513</v>
      </c>
      <c r="M124" s="5">
        <v>15316.2781066894</v>
      </c>
      <c r="N124" s="1">
        <f t="shared" si="5"/>
        <v>10769258043.765984</v>
      </c>
      <c r="O124" s="1">
        <f>H124*10^4*M124/C124</f>
        <v>8854723280.4298115</v>
      </c>
      <c r="P124" s="1">
        <f t="shared" si="6"/>
        <v>124444759.61685137</v>
      </c>
      <c r="Q124" s="1">
        <f>J124*10000*M124/C124</f>
        <v>119658422.70851094</v>
      </c>
    </row>
    <row r="125" spans="1:17" x14ac:dyDescent="0.2">
      <c r="A125" s="1" t="s">
        <v>33</v>
      </c>
      <c r="B125" s="1" t="s">
        <v>9</v>
      </c>
      <c r="C125" s="1">
        <v>55000</v>
      </c>
      <c r="D125" s="1">
        <v>13.1</v>
      </c>
      <c r="E125" s="1">
        <v>7.4</v>
      </c>
      <c r="F125" s="1">
        <v>0</v>
      </c>
      <c r="G125" s="2">
        <v>2000000</v>
      </c>
      <c r="H125" s="2" t="s">
        <v>8</v>
      </c>
      <c r="I125" s="2">
        <f>37*10^3</f>
        <v>37000</v>
      </c>
      <c r="J125" s="2">
        <f>30*10^3</f>
        <v>30000</v>
      </c>
      <c r="K125" s="1">
        <f t="shared" si="7"/>
        <v>1.8499999999999999</v>
      </c>
      <c r="L125" s="1" t="s">
        <v>8</v>
      </c>
      <c r="M125" s="5">
        <v>12338</v>
      </c>
      <c r="N125" s="1">
        <f t="shared" si="5"/>
        <v>4486545454.545455</v>
      </c>
      <c r="O125" s="1" t="s">
        <v>8</v>
      </c>
      <c r="P125" s="1">
        <f t="shared" si="6"/>
        <v>83001090.909090906</v>
      </c>
      <c r="Q125" s="1">
        <f>J125*10000*M125/C125</f>
        <v>67298181.818181813</v>
      </c>
    </row>
    <row r="126" spans="1:17" x14ac:dyDescent="0.2">
      <c r="A126" s="1" t="s">
        <v>33</v>
      </c>
      <c r="B126" s="1" t="s">
        <v>10</v>
      </c>
      <c r="C126" s="1">
        <v>454000</v>
      </c>
      <c r="D126" s="1">
        <v>13.6</v>
      </c>
      <c r="E126" s="1">
        <v>1.7</v>
      </c>
      <c r="F126" s="1">
        <v>0</v>
      </c>
      <c r="G126" s="2">
        <v>3300000</v>
      </c>
      <c r="H126" s="2">
        <v>3100000</v>
      </c>
      <c r="I126" s="2">
        <f>42*10^3</f>
        <v>42000</v>
      </c>
      <c r="J126" s="3">
        <f>19*10^3</f>
        <v>19000</v>
      </c>
      <c r="K126" s="1">
        <f t="shared" si="7"/>
        <v>1.2727272727272727</v>
      </c>
      <c r="L126" s="1">
        <f>J126/H126*100</f>
        <v>0.61290322580645162</v>
      </c>
      <c r="M126" s="5">
        <v>142433</v>
      </c>
      <c r="N126" s="1">
        <f t="shared" si="5"/>
        <v>10353059471.365639</v>
      </c>
      <c r="O126" s="1">
        <f>H126*10^4*M126/C126</f>
        <v>9725601321.5859032</v>
      </c>
      <c r="P126" s="1">
        <f t="shared" si="6"/>
        <v>131766211.45374449</v>
      </c>
      <c r="Q126" s="1">
        <f>J126*10000*M126/C126</f>
        <v>59608524.229074888</v>
      </c>
    </row>
    <row r="127" spans="1:17" x14ac:dyDescent="0.2">
      <c r="A127" s="1" t="s">
        <v>33</v>
      </c>
      <c r="B127" s="1" t="s">
        <v>11</v>
      </c>
      <c r="C127" s="1">
        <v>62000</v>
      </c>
      <c r="D127" s="1">
        <v>11.7</v>
      </c>
      <c r="E127" s="1">
        <v>4.4000000000000004</v>
      </c>
      <c r="F127" s="1">
        <v>4.3</v>
      </c>
      <c r="G127" s="2">
        <v>4300000</v>
      </c>
      <c r="H127" s="2">
        <v>2700000</v>
      </c>
      <c r="I127" s="2">
        <f>84*10^3</f>
        <v>84000</v>
      </c>
      <c r="J127" s="3">
        <f>14*10^3</f>
        <v>14000</v>
      </c>
      <c r="K127" s="1">
        <f t="shared" si="7"/>
        <v>1.9534883720930232</v>
      </c>
      <c r="L127" s="1">
        <f>J127/H127*100</f>
        <v>0.51851851851851849</v>
      </c>
      <c r="M127" s="5">
        <v>19325</v>
      </c>
      <c r="N127" s="1">
        <f t="shared" si="5"/>
        <v>13402822580.645161</v>
      </c>
      <c r="O127" s="1">
        <f>H127*10^4*M127/C127</f>
        <v>8415725806.4516125</v>
      </c>
      <c r="P127" s="1">
        <f t="shared" si="6"/>
        <v>261822580.6451613</v>
      </c>
      <c r="Q127" s="1">
        <f>J127*10000*M127/C127</f>
        <v>43637096.774193548</v>
      </c>
    </row>
    <row r="128" spans="1:17" x14ac:dyDescent="0.2">
      <c r="A128" s="1" t="s">
        <v>34</v>
      </c>
      <c r="B128" s="1" t="s">
        <v>12</v>
      </c>
      <c r="C128" s="1">
        <v>124000</v>
      </c>
      <c r="D128" s="1">
        <v>18.5</v>
      </c>
      <c r="E128" s="1">
        <v>4.8</v>
      </c>
      <c r="F128" s="1">
        <v>0</v>
      </c>
      <c r="G128" s="2">
        <v>3500000</v>
      </c>
      <c r="H128" s="2">
        <v>3500000</v>
      </c>
      <c r="I128" s="2">
        <f>47*10^3</f>
        <v>47000</v>
      </c>
      <c r="J128" s="2">
        <f>43*10^3</f>
        <v>43000</v>
      </c>
      <c r="K128" s="1">
        <f t="shared" si="7"/>
        <v>1.342857142857143</v>
      </c>
      <c r="L128" s="1">
        <f>J128/H128*100</f>
        <v>1.2285714285714284</v>
      </c>
      <c r="M128" s="5">
        <v>37746</v>
      </c>
      <c r="N128" s="1">
        <f t="shared" si="5"/>
        <v>10654112903.225807</v>
      </c>
      <c r="O128" s="1">
        <f>H128*10^4*M128/C128</f>
        <v>10654112903.225807</v>
      </c>
      <c r="P128" s="1">
        <f t="shared" si="6"/>
        <v>143069516.12903225</v>
      </c>
      <c r="Q128" s="1">
        <f>J128*10000*M128/C128</f>
        <v>130893387.09677419</v>
      </c>
    </row>
    <row r="129" spans="1:17" x14ac:dyDescent="0.2">
      <c r="A129" s="1" t="s">
        <v>34</v>
      </c>
      <c r="B129" s="1" t="s">
        <v>32</v>
      </c>
      <c r="C129" s="1">
        <v>471000</v>
      </c>
      <c r="D129" s="1">
        <v>17.100000000000001</v>
      </c>
      <c r="E129" s="1">
        <v>1.3</v>
      </c>
      <c r="F129" s="1">
        <v>0</v>
      </c>
      <c r="G129" s="2">
        <v>2800000</v>
      </c>
      <c r="H129" s="3">
        <v>1700000</v>
      </c>
      <c r="I129" s="2">
        <f>42*10^3</f>
        <v>42000</v>
      </c>
      <c r="J129" s="2">
        <f>41*10^3</f>
        <v>41000</v>
      </c>
      <c r="K129" s="1">
        <f t="shared" si="7"/>
        <v>1.5</v>
      </c>
      <c r="L129" s="1">
        <f>J129/H129*100</f>
        <v>2.4117647058823528</v>
      </c>
      <c r="M129" s="5">
        <v>180872.40348333301</v>
      </c>
      <c r="N129" s="1">
        <f t="shared" si="5"/>
        <v>10752499570.134445</v>
      </c>
      <c r="O129" s="1">
        <f>H129*10^4*M129/C129</f>
        <v>6528303310.4387703</v>
      </c>
      <c r="P129" s="1">
        <f t="shared" si="6"/>
        <v>161287493.55201668</v>
      </c>
      <c r="Q129" s="1">
        <f>J129*10000*M129/C129</f>
        <v>157447315.13411152</v>
      </c>
    </row>
    <row r="130" spans="1:17" x14ac:dyDescent="0.2">
      <c r="A130" s="1" t="s">
        <v>34</v>
      </c>
      <c r="B130" s="1" t="s">
        <v>7</v>
      </c>
      <c r="C130" s="1">
        <v>64000</v>
      </c>
      <c r="D130" s="1">
        <v>16.899999999999999</v>
      </c>
      <c r="E130" s="1">
        <v>0.9</v>
      </c>
      <c r="F130" s="1">
        <v>0</v>
      </c>
      <c r="G130" s="2">
        <v>3700000</v>
      </c>
      <c r="H130" s="2">
        <v>2800000</v>
      </c>
      <c r="I130" s="2">
        <f>85*10^3</f>
        <v>85000</v>
      </c>
      <c r="J130" s="2">
        <f>69*10^3</f>
        <v>69000</v>
      </c>
      <c r="K130" s="1">
        <f t="shared" ref="K130:K161" si="8">I130/G130*100</f>
        <v>2.2972972972972974</v>
      </c>
      <c r="L130" s="1">
        <f>J130/H130*100</f>
        <v>2.4642857142857144</v>
      </c>
      <c r="M130" s="5">
        <v>15379.779296875</v>
      </c>
      <c r="N130" s="1">
        <f t="shared" si="5"/>
        <v>8891434906.0058594</v>
      </c>
      <c r="O130" s="1">
        <f>H130*10^4*M130/C130</f>
        <v>6728653442.3828125</v>
      </c>
      <c r="P130" s="1">
        <f t="shared" si="6"/>
        <v>204262693.78662109</v>
      </c>
      <c r="Q130" s="1">
        <f>J130*10000*M130/C130</f>
        <v>165813245.54443359</v>
      </c>
    </row>
    <row r="131" spans="1:17" x14ac:dyDescent="0.2">
      <c r="A131" s="1" t="s">
        <v>34</v>
      </c>
      <c r="B131" s="1" t="s">
        <v>9</v>
      </c>
      <c r="C131" s="1">
        <v>55000</v>
      </c>
      <c r="D131" s="1">
        <v>17.399999999999999</v>
      </c>
      <c r="E131" s="1">
        <v>0.1</v>
      </c>
      <c r="F131" s="1">
        <v>0</v>
      </c>
      <c r="G131" s="2">
        <v>3600000</v>
      </c>
      <c r="H131" s="2">
        <v>2400000</v>
      </c>
      <c r="I131" s="2">
        <f>58*10^3</f>
        <v>58000</v>
      </c>
      <c r="J131" s="2">
        <f>53*10^3</f>
        <v>53000</v>
      </c>
      <c r="K131" s="1">
        <f t="shared" si="8"/>
        <v>1.6111111111111112</v>
      </c>
      <c r="L131" s="1">
        <f>J131/H131*100</f>
        <v>2.2083333333333335</v>
      </c>
      <c r="M131" s="5">
        <v>12298</v>
      </c>
      <c r="N131" s="1">
        <f>G131*10^4*M131/C131</f>
        <v>8049600000</v>
      </c>
      <c r="O131" s="1">
        <f>H131*10^4*M131/C131</f>
        <v>5366400000</v>
      </c>
      <c r="P131" s="1">
        <f t="shared" si="6"/>
        <v>129688000</v>
      </c>
      <c r="Q131" s="1">
        <f>J131*10000*M131/C131</f>
        <v>118508000</v>
      </c>
    </row>
    <row r="132" spans="1:17" x14ac:dyDescent="0.2">
      <c r="A132" s="1" t="s">
        <v>34</v>
      </c>
      <c r="B132" s="1" t="s">
        <v>10</v>
      </c>
      <c r="C132" s="1">
        <v>454000</v>
      </c>
      <c r="D132" s="1">
        <v>17.600000000000001</v>
      </c>
      <c r="E132" s="1">
        <v>0</v>
      </c>
      <c r="F132" s="1">
        <v>0</v>
      </c>
      <c r="G132" s="2">
        <v>2800000</v>
      </c>
      <c r="H132" s="2">
        <v>2700000</v>
      </c>
      <c r="I132" s="2">
        <f>71*10^3</f>
        <v>71000</v>
      </c>
      <c r="J132" s="2">
        <f>71*10^3</f>
        <v>71000</v>
      </c>
      <c r="K132" s="1">
        <f t="shared" si="8"/>
        <v>2.5357142857142856</v>
      </c>
      <c r="L132" s="1">
        <f>J132/H132*100</f>
        <v>2.6296296296296298</v>
      </c>
      <c r="M132" s="5">
        <v>130583</v>
      </c>
      <c r="N132" s="1">
        <f>G132*10^4*M132/C132</f>
        <v>8053577092.511013</v>
      </c>
      <c r="O132" s="1">
        <f>H132*10^4*M132/C132</f>
        <v>7765949339.2070484</v>
      </c>
      <c r="P132" s="1">
        <f>I132*10000*M132/C132</f>
        <v>204215704.84581497</v>
      </c>
      <c r="Q132" s="1">
        <f>J132*10000*M132/C132</f>
        <v>204215704.84581497</v>
      </c>
    </row>
    <row r="133" spans="1:17" x14ac:dyDescent="0.2">
      <c r="A133" s="1" t="s">
        <v>34</v>
      </c>
      <c r="B133" s="1" t="s">
        <v>11</v>
      </c>
      <c r="C133" s="1">
        <v>62000</v>
      </c>
      <c r="D133" s="1">
        <v>16.3</v>
      </c>
      <c r="E133" s="1">
        <v>1.2</v>
      </c>
      <c r="F133" s="1">
        <v>0</v>
      </c>
      <c r="G133" s="2">
        <v>3900000</v>
      </c>
      <c r="H133" s="2">
        <v>3400000</v>
      </c>
      <c r="I133" s="2">
        <f>54*10^3</f>
        <v>54000</v>
      </c>
      <c r="J133" s="2">
        <f>53*10^3</f>
        <v>53000</v>
      </c>
      <c r="K133" s="1">
        <f t="shared" si="8"/>
        <v>1.3846153846153846</v>
      </c>
      <c r="L133" s="1">
        <f>J133/H133*100</f>
        <v>1.5588235294117647</v>
      </c>
      <c r="M133" s="5">
        <v>17129</v>
      </c>
      <c r="N133" s="1">
        <f>G133*10^4*M133/C133</f>
        <v>10774693548.387096</v>
      </c>
      <c r="O133" s="1">
        <f>H133*10^4*M133/C133</f>
        <v>9393322580.6451607</v>
      </c>
      <c r="P133" s="1">
        <f>I133*10000*M133/C133</f>
        <v>149188064.51612905</v>
      </c>
      <c r="Q133" s="1">
        <f>J133*10000*M133/C133</f>
        <v>146425322.58064517</v>
      </c>
    </row>
    <row r="134" spans="1:17" x14ac:dyDescent="0.2">
      <c r="A134" s="1" t="s">
        <v>35</v>
      </c>
      <c r="B134" s="1" t="s">
        <v>12</v>
      </c>
      <c r="C134" s="1">
        <v>124000</v>
      </c>
      <c r="D134" s="1">
        <v>20.6</v>
      </c>
      <c r="E134" s="1">
        <v>14</v>
      </c>
      <c r="F134" s="1">
        <v>0</v>
      </c>
      <c r="G134" s="2">
        <v>1100000</v>
      </c>
      <c r="H134" s="2">
        <v>700000</v>
      </c>
      <c r="I134" s="2">
        <f>13*10^3</f>
        <v>13000</v>
      </c>
      <c r="J134" s="2">
        <f>12*10^3</f>
        <v>12000</v>
      </c>
      <c r="K134" s="1">
        <f t="shared" si="8"/>
        <v>1.1818181818181819</v>
      </c>
      <c r="L134" s="1">
        <f>J134/H134*100</f>
        <v>1.7142857142857144</v>
      </c>
      <c r="M134" s="5">
        <v>38336</v>
      </c>
      <c r="N134" s="1">
        <f>G134*10^4*M134/C134</f>
        <v>3400774193.5483871</v>
      </c>
      <c r="O134" s="1">
        <f>H134*10^4*M134/C134</f>
        <v>2164129032.2580647</v>
      </c>
      <c r="P134" s="1">
        <f>I134*10000*M134/C134</f>
        <v>40190967.741935484</v>
      </c>
      <c r="Q134" s="1">
        <f>J134*10000*M134/C134</f>
        <v>37099354.838709675</v>
      </c>
    </row>
    <row r="135" spans="1:17" x14ac:dyDescent="0.2">
      <c r="A135" s="1" t="s">
        <v>35</v>
      </c>
      <c r="B135" s="1" t="s">
        <v>32</v>
      </c>
      <c r="C135" s="1">
        <v>471000</v>
      </c>
      <c r="D135" s="1">
        <v>18.899999999999999</v>
      </c>
      <c r="E135" s="1">
        <v>1</v>
      </c>
      <c r="F135" s="1">
        <v>0</v>
      </c>
      <c r="G135" s="2">
        <v>1100000</v>
      </c>
      <c r="H135" s="2">
        <v>600000</v>
      </c>
      <c r="I135" s="2">
        <f>49*10^3</f>
        <v>49000</v>
      </c>
      <c r="J135" s="2">
        <f>43*10^3</f>
        <v>43000</v>
      </c>
      <c r="K135" s="1">
        <f t="shared" si="8"/>
        <v>4.454545454545455</v>
      </c>
      <c r="L135" s="1">
        <f>J135/H135*100</f>
        <v>7.166666666666667</v>
      </c>
      <c r="M135" s="5">
        <v>160347.64574999901</v>
      </c>
      <c r="N135" s="1">
        <f>G135*10^4*M135/C135</f>
        <v>3744849476.1146264</v>
      </c>
      <c r="O135" s="1">
        <f>H135*10^4*M135/C135</f>
        <v>2042645168.7897961</v>
      </c>
      <c r="P135" s="1">
        <f>I135*10000*M135/C135</f>
        <v>166816022.11783338</v>
      </c>
      <c r="Q135" s="1">
        <f>J135*10000*M135/C135</f>
        <v>146389570.4299354</v>
      </c>
    </row>
    <row r="136" spans="1:17" x14ac:dyDescent="0.2">
      <c r="A136" s="1" t="s">
        <v>35</v>
      </c>
      <c r="B136" s="1" t="s">
        <v>7</v>
      </c>
      <c r="C136" s="1">
        <v>64000</v>
      </c>
      <c r="D136" s="1">
        <v>18.7</v>
      </c>
      <c r="E136" s="1">
        <v>11</v>
      </c>
      <c r="F136" s="1">
        <v>0</v>
      </c>
      <c r="G136" s="2">
        <v>1700000</v>
      </c>
      <c r="H136" s="2">
        <v>1500000</v>
      </c>
      <c r="I136" s="2">
        <f>67*10^3</f>
        <v>67000</v>
      </c>
      <c r="J136" s="2">
        <f>62*10^3</f>
        <v>62000</v>
      </c>
      <c r="K136" s="1">
        <f t="shared" si="8"/>
        <v>3.9411764705882355</v>
      </c>
      <c r="L136" s="1">
        <f>J136/H136*100</f>
        <v>4.1333333333333329</v>
      </c>
      <c r="M136" s="5">
        <v>32548.875762939399</v>
      </c>
      <c r="N136" s="1">
        <f>G136*10^4*M136/C136</f>
        <v>8645795124.530777</v>
      </c>
      <c r="O136" s="1">
        <f>H136*10^4*M136/C136</f>
        <v>7628642756.9389219</v>
      </c>
      <c r="P136" s="1">
        <f>I136*10000*M136/C136</f>
        <v>340746043.14327186</v>
      </c>
      <c r="Q136" s="1">
        <f>J136*10000*M136/C136</f>
        <v>315317233.95347542</v>
      </c>
    </row>
    <row r="137" spans="1:17" x14ac:dyDescent="0.2">
      <c r="A137" s="1" t="s">
        <v>35</v>
      </c>
      <c r="B137" s="1" t="s">
        <v>9</v>
      </c>
      <c r="C137" s="1">
        <v>55000</v>
      </c>
      <c r="D137" s="1">
        <v>19</v>
      </c>
      <c r="E137" s="1">
        <v>3.7</v>
      </c>
      <c r="F137" s="1">
        <v>0</v>
      </c>
      <c r="G137" s="2">
        <v>1500000</v>
      </c>
      <c r="H137" s="2">
        <v>1300000</v>
      </c>
      <c r="I137" s="2">
        <f>43*10^3</f>
        <v>43000</v>
      </c>
      <c r="J137" s="2">
        <f>34*10^3</f>
        <v>34000</v>
      </c>
      <c r="K137" s="1">
        <f t="shared" si="8"/>
        <v>2.8666666666666667</v>
      </c>
      <c r="L137" s="1">
        <f>J137/H137*100</f>
        <v>2.6153846153846154</v>
      </c>
      <c r="M137" s="5">
        <v>14120</v>
      </c>
      <c r="N137" s="1">
        <f>G137*10^4*M137/C137</f>
        <v>3850909090.909091</v>
      </c>
      <c r="O137" s="1">
        <f>H137*10^4*M137/C137</f>
        <v>3337454545.4545455</v>
      </c>
      <c r="P137" s="1">
        <f>I137*10000*M137/C137</f>
        <v>110392727.27272727</v>
      </c>
      <c r="Q137" s="1">
        <f>J137*10000*M137/C137</f>
        <v>87287272.727272734</v>
      </c>
    </row>
    <row r="138" spans="1:17" x14ac:dyDescent="0.2">
      <c r="A138" s="1" t="s">
        <v>35</v>
      </c>
      <c r="B138" s="1" t="s">
        <v>10</v>
      </c>
      <c r="C138" s="1">
        <v>454000</v>
      </c>
      <c r="D138" s="1">
        <v>20.100000000000001</v>
      </c>
      <c r="E138" s="1">
        <v>0.1</v>
      </c>
      <c r="F138" s="1">
        <v>0</v>
      </c>
      <c r="G138" s="2">
        <v>1900000</v>
      </c>
      <c r="H138" s="2">
        <v>1900000</v>
      </c>
      <c r="I138" s="2">
        <f>46*10^3</f>
        <v>46000</v>
      </c>
      <c r="J138" s="2">
        <f>40*10^3</f>
        <v>40000</v>
      </c>
      <c r="K138" s="1">
        <f t="shared" si="8"/>
        <v>2.4210526315789473</v>
      </c>
      <c r="L138" s="1">
        <f>J138/H138*100</f>
        <v>2.1052631578947367</v>
      </c>
      <c r="M138" s="5">
        <v>150979</v>
      </c>
      <c r="N138" s="1">
        <f>G138*10^4*M138/C138</f>
        <v>6318504405.2863436</v>
      </c>
      <c r="O138" s="1">
        <f>H138*10^4*M138/C138</f>
        <v>6318504405.2863436</v>
      </c>
      <c r="P138" s="1">
        <f>I138*10000*M138/C138</f>
        <v>152974317.18061674</v>
      </c>
      <c r="Q138" s="1">
        <f>J138*10000*M138/C138</f>
        <v>133021145.37444934</v>
      </c>
    </row>
    <row r="139" spans="1:17" x14ac:dyDescent="0.2">
      <c r="A139" s="1" t="s">
        <v>35</v>
      </c>
      <c r="B139" s="1" t="s">
        <v>11</v>
      </c>
      <c r="C139" s="1">
        <v>62000</v>
      </c>
      <c r="D139" s="1">
        <v>19</v>
      </c>
      <c r="E139" s="1">
        <v>0</v>
      </c>
      <c r="F139" s="1">
        <v>0</v>
      </c>
      <c r="G139" s="2">
        <v>1800000</v>
      </c>
      <c r="H139" s="2">
        <v>1100000</v>
      </c>
      <c r="I139" s="2">
        <f>45*10^3</f>
        <v>45000</v>
      </c>
      <c r="J139" s="2">
        <f>39*10^3</f>
        <v>39000</v>
      </c>
      <c r="K139" s="1">
        <f t="shared" si="8"/>
        <v>2.5</v>
      </c>
      <c r="L139" s="1">
        <f>J139/H139*100</f>
        <v>3.5454545454545454</v>
      </c>
      <c r="M139" s="5">
        <v>16092</v>
      </c>
      <c r="N139" s="1">
        <f>G139*10^4*M139/C139</f>
        <v>4671870967.7419357</v>
      </c>
      <c r="O139" s="1">
        <f>H139*10^4*M139/C139</f>
        <v>2855032258.0645161</v>
      </c>
      <c r="P139" s="1">
        <f>I139*10000*M139/C139</f>
        <v>116796774.19354838</v>
      </c>
      <c r="Q139" s="1">
        <f>J139*10000*M139/C139</f>
        <v>101223870.96774194</v>
      </c>
    </row>
    <row r="140" spans="1:17" x14ac:dyDescent="0.2">
      <c r="A140" s="1" t="s">
        <v>36</v>
      </c>
      <c r="B140" s="1" t="s">
        <v>12</v>
      </c>
      <c r="C140" s="1">
        <v>124000</v>
      </c>
      <c r="D140" s="1">
        <v>19.3</v>
      </c>
      <c r="E140" s="1">
        <v>15.6</v>
      </c>
      <c r="F140" s="1">
        <v>0.9</v>
      </c>
      <c r="G140" s="2">
        <v>1700000</v>
      </c>
      <c r="H140" s="2">
        <v>1300000</v>
      </c>
      <c r="I140" s="2">
        <f>39*10^3</f>
        <v>39000</v>
      </c>
      <c r="J140" s="2">
        <f>32*10^3</f>
        <v>32000</v>
      </c>
      <c r="K140" s="1">
        <f t="shared" si="8"/>
        <v>2.2941176470588234</v>
      </c>
      <c r="L140" s="1">
        <f>J140/H140*100</f>
        <v>2.4615384615384617</v>
      </c>
      <c r="M140" s="5">
        <v>69392</v>
      </c>
      <c r="N140" s="1">
        <f>G140*10^4*M140/C140</f>
        <v>9513419354.8387089</v>
      </c>
      <c r="O140" s="1">
        <f>H140*10^4*M140/C140</f>
        <v>7274967741.9354839</v>
      </c>
      <c r="P140" s="1">
        <f>I140*10000*M140/C140</f>
        <v>218249032.25806451</v>
      </c>
      <c r="Q140" s="1">
        <f>J140*10000*M140/C140</f>
        <v>179076129.03225806</v>
      </c>
    </row>
    <row r="141" spans="1:17" x14ac:dyDescent="0.2">
      <c r="A141" s="1" t="s">
        <v>36</v>
      </c>
      <c r="B141" s="1" t="s">
        <v>32</v>
      </c>
      <c r="C141" s="1">
        <v>471000</v>
      </c>
      <c r="D141" s="1">
        <v>14.1</v>
      </c>
      <c r="E141" s="1">
        <v>7.8</v>
      </c>
      <c r="F141" s="1">
        <v>1.6</v>
      </c>
      <c r="G141" s="2">
        <v>1800000</v>
      </c>
      <c r="H141" s="2">
        <v>1700000</v>
      </c>
      <c r="I141" s="2">
        <f>69*10^3</f>
        <v>69000</v>
      </c>
      <c r="J141" s="2">
        <f>44*10^3</f>
        <v>44000</v>
      </c>
      <c r="K141" s="1">
        <f t="shared" si="8"/>
        <v>3.833333333333333</v>
      </c>
      <c r="L141" s="1">
        <f>J141/H141*100</f>
        <v>2.5882352941176472</v>
      </c>
      <c r="M141" s="5">
        <v>231757.04078333301</v>
      </c>
      <c r="N141" s="1">
        <f>G141*10^4*M141/C141</f>
        <v>8856956972.6114521</v>
      </c>
      <c r="O141" s="1">
        <f>H141*10^4*M141/C141</f>
        <v>8364903807.4663715</v>
      </c>
      <c r="P141" s="1">
        <f>I141*10000*M141/C141</f>
        <v>339516683.95010567</v>
      </c>
      <c r="Q141" s="1">
        <f>J141*10000*M141/C141</f>
        <v>216503392.66383553</v>
      </c>
    </row>
    <row r="142" spans="1:17" x14ac:dyDescent="0.2">
      <c r="A142" s="1" t="s">
        <v>36</v>
      </c>
      <c r="B142" s="1" t="s">
        <v>7</v>
      </c>
      <c r="C142" s="1">
        <v>64000</v>
      </c>
      <c r="D142" s="1">
        <v>14.3</v>
      </c>
      <c r="E142" s="1">
        <v>26.4</v>
      </c>
      <c r="F142" s="1">
        <v>12.3</v>
      </c>
      <c r="G142" s="2">
        <v>1800000</v>
      </c>
      <c r="H142" s="2">
        <v>1000000</v>
      </c>
      <c r="I142" s="2">
        <f>45*10^3</f>
        <v>45000</v>
      </c>
      <c r="J142" s="2">
        <f>25*10^3</f>
        <v>25000</v>
      </c>
      <c r="K142" s="1">
        <f t="shared" si="8"/>
        <v>2.5</v>
      </c>
      <c r="L142" s="1">
        <f>J142/H142*100</f>
        <v>2.5</v>
      </c>
      <c r="M142" s="5">
        <v>38494.575012207002</v>
      </c>
      <c r="N142" s="1">
        <f>G142*10^4*M142/C142</f>
        <v>10826599222.183218</v>
      </c>
      <c r="O142" s="1">
        <f>H142*10^4*M142/C142</f>
        <v>6014777345.6573439</v>
      </c>
      <c r="P142" s="1">
        <f>I142*10000*M142/C142</f>
        <v>270664980.55458045</v>
      </c>
      <c r="Q142" s="1">
        <f>J142*10000*M142/C142</f>
        <v>150369433.6414336</v>
      </c>
    </row>
    <row r="143" spans="1:17" x14ac:dyDescent="0.2">
      <c r="A143" s="1" t="s">
        <v>36</v>
      </c>
      <c r="B143" s="1" t="s">
        <v>9</v>
      </c>
      <c r="C143" s="1">
        <v>55000</v>
      </c>
      <c r="D143" s="1">
        <v>14.2</v>
      </c>
      <c r="E143" s="1">
        <v>44.9</v>
      </c>
      <c r="F143" s="1">
        <v>6</v>
      </c>
      <c r="G143" s="2">
        <v>1600000</v>
      </c>
      <c r="H143" s="2">
        <v>1500000</v>
      </c>
      <c r="I143" s="3">
        <f>17*10^3</f>
        <v>17000</v>
      </c>
      <c r="J143" s="3">
        <f>14*10^3</f>
        <v>14000</v>
      </c>
      <c r="K143" s="1">
        <f t="shared" si="8"/>
        <v>1.0625</v>
      </c>
      <c r="L143" s="1">
        <f>J143/H143*100</f>
        <v>0.93333333333333346</v>
      </c>
      <c r="M143" s="5">
        <v>39025</v>
      </c>
      <c r="N143" s="1">
        <f>G143*10^4*M143/C143</f>
        <v>11352727272.727272</v>
      </c>
      <c r="O143" s="1">
        <f>H143*10^4*M143/C143</f>
        <v>10643181818.181818</v>
      </c>
      <c r="P143" s="1">
        <f>I143*10000*M143/C143</f>
        <v>120622727.27272727</v>
      </c>
      <c r="Q143" s="1">
        <f>J143*10000*M143/C143</f>
        <v>99336363.63636364</v>
      </c>
    </row>
    <row r="144" spans="1:17" x14ac:dyDescent="0.2">
      <c r="A144" s="1" t="s">
        <v>36</v>
      </c>
      <c r="B144" s="1" t="s">
        <v>10</v>
      </c>
      <c r="C144" s="1">
        <v>454000</v>
      </c>
      <c r="D144" s="1">
        <v>15.8</v>
      </c>
      <c r="E144" s="1">
        <v>1.8</v>
      </c>
      <c r="F144" s="1">
        <v>0.3</v>
      </c>
      <c r="G144" s="2">
        <v>2700000</v>
      </c>
      <c r="H144" s="2">
        <v>2200000</v>
      </c>
      <c r="I144" s="3">
        <f>33*10^3</f>
        <v>33000</v>
      </c>
      <c r="J144" s="3">
        <f>31*10^3</f>
        <v>31000</v>
      </c>
      <c r="K144" s="1">
        <f t="shared" si="8"/>
        <v>1.2222222222222223</v>
      </c>
      <c r="L144" s="1">
        <f>J144/H144*100</f>
        <v>1.4090909090909092</v>
      </c>
      <c r="M144" s="5">
        <v>134335</v>
      </c>
      <c r="N144" s="1">
        <f>G144*10^4*M144/C144</f>
        <v>7989085903.0837002</v>
      </c>
      <c r="O144" s="1">
        <f>H144*10^4*M144/C144</f>
        <v>6509625550.6607933</v>
      </c>
      <c r="P144" s="1">
        <f>I144*10000*M144/C144</f>
        <v>97644383.259911895</v>
      </c>
      <c r="Q144" s="1">
        <f>J144*10000*M144/C144</f>
        <v>91726541.850220263</v>
      </c>
    </row>
    <row r="145" spans="1:17" x14ac:dyDescent="0.2">
      <c r="A145" s="1" t="s">
        <v>36</v>
      </c>
      <c r="B145" s="1" t="s">
        <v>11</v>
      </c>
      <c r="C145" s="1">
        <v>62000</v>
      </c>
      <c r="D145" s="1">
        <v>14</v>
      </c>
      <c r="E145" s="1">
        <v>6.4</v>
      </c>
      <c r="F145" s="1">
        <v>1.2</v>
      </c>
      <c r="G145" s="2">
        <v>2300000</v>
      </c>
      <c r="H145" s="2">
        <v>1900000</v>
      </c>
      <c r="I145" s="2">
        <f>33*10^3</f>
        <v>33000</v>
      </c>
      <c r="J145" s="3" t="s">
        <v>8</v>
      </c>
      <c r="K145" s="1">
        <f t="shared" si="8"/>
        <v>1.4347826086956521</v>
      </c>
      <c r="L145" s="1" t="s">
        <v>8</v>
      </c>
      <c r="M145" s="5">
        <v>20662</v>
      </c>
      <c r="N145" s="1">
        <f>G145*10^4*M145/C145</f>
        <v>7664935483.8709679</v>
      </c>
      <c r="O145" s="1">
        <f>H145*10^4*M145/C145</f>
        <v>6331903225.8064518</v>
      </c>
      <c r="P145" s="1">
        <f>I145*10000*M145/C145</f>
        <v>109975161.29032259</v>
      </c>
      <c r="Q145" s="1" t="s">
        <v>8</v>
      </c>
    </row>
    <row r="146" spans="1:17" x14ac:dyDescent="0.2">
      <c r="A146" s="1" t="s">
        <v>37</v>
      </c>
      <c r="B146" s="1" t="s">
        <v>12</v>
      </c>
      <c r="C146" s="1">
        <v>124000</v>
      </c>
      <c r="D146" s="1">
        <v>17.899999999999999</v>
      </c>
      <c r="E146" s="1">
        <v>12</v>
      </c>
      <c r="F146" s="1">
        <v>0</v>
      </c>
      <c r="G146" s="3">
        <v>3100000</v>
      </c>
      <c r="H146" s="4">
        <v>2500000</v>
      </c>
      <c r="I146" s="2">
        <f>71*10^3</f>
        <v>71000</v>
      </c>
      <c r="J146" s="2">
        <f>66*10^3</f>
        <v>66000</v>
      </c>
      <c r="K146" s="1">
        <f t="shared" si="8"/>
        <v>2.2903225806451615</v>
      </c>
      <c r="L146" s="1">
        <f>J146/H146*100</f>
        <v>2.64</v>
      </c>
      <c r="M146" s="5">
        <v>37161</v>
      </c>
      <c r="N146" s="1">
        <f>G146*10^4*M146/C146</f>
        <v>9290250000</v>
      </c>
      <c r="O146" s="1">
        <f>H146*10^4*M146/C146</f>
        <v>7492137096.7741938</v>
      </c>
      <c r="P146" s="1">
        <f>I146*10000*M146/C146</f>
        <v>212776693.54838711</v>
      </c>
      <c r="Q146" s="1">
        <f>J146*10000*M146/C146</f>
        <v>197792419.3548387</v>
      </c>
    </row>
    <row r="147" spans="1:17" x14ac:dyDescent="0.2">
      <c r="A147" s="1" t="s">
        <v>37</v>
      </c>
      <c r="B147" s="1" t="s">
        <v>32</v>
      </c>
      <c r="C147" s="1">
        <v>471000</v>
      </c>
      <c r="D147" s="1">
        <v>14.9</v>
      </c>
      <c r="E147" s="1">
        <v>0.1</v>
      </c>
      <c r="F147" s="1">
        <v>0</v>
      </c>
      <c r="G147" s="2">
        <v>2400000</v>
      </c>
      <c r="H147" s="2">
        <v>1500000</v>
      </c>
      <c r="I147" s="2">
        <f>18*10^3</f>
        <v>18000</v>
      </c>
      <c r="J147" s="2">
        <f>14*10^3</f>
        <v>14000</v>
      </c>
      <c r="K147" s="1">
        <f t="shared" si="8"/>
        <v>0.75</v>
      </c>
      <c r="L147" s="1">
        <f>J147/H147*100</f>
        <v>0.93333333333333346</v>
      </c>
      <c r="M147" s="5">
        <v>155315.85555000001</v>
      </c>
      <c r="N147" s="1">
        <f>G147*10^4*M147/C147</f>
        <v>7914183722.2929935</v>
      </c>
      <c r="O147" s="1">
        <f>H147*10^4*M147/C147</f>
        <v>4946364826.4331207</v>
      </c>
      <c r="P147" s="1">
        <f>I147*10000*M147/C147</f>
        <v>59356377.917197451</v>
      </c>
      <c r="Q147" s="1">
        <f>J147*10000*M147/C147</f>
        <v>46166071.713375799</v>
      </c>
    </row>
    <row r="148" spans="1:17" x14ac:dyDescent="0.2">
      <c r="A148" s="1" t="s">
        <v>37</v>
      </c>
      <c r="B148" s="1" t="s">
        <v>7</v>
      </c>
      <c r="C148" s="1">
        <v>64000</v>
      </c>
      <c r="D148" s="1">
        <v>14.6</v>
      </c>
      <c r="E148" s="1">
        <v>0.6</v>
      </c>
      <c r="F148" s="1">
        <v>0.6</v>
      </c>
      <c r="G148" s="2">
        <v>3100000</v>
      </c>
      <c r="H148" s="2">
        <v>2900000</v>
      </c>
      <c r="I148" s="2">
        <f>41*10^3</f>
        <v>41000</v>
      </c>
      <c r="J148" s="2">
        <f>36*10^3</f>
        <v>36000</v>
      </c>
      <c r="K148" s="1">
        <f t="shared" si="8"/>
        <v>1.3225806451612903</v>
      </c>
      <c r="L148" s="1">
        <f>J148/H148*100</f>
        <v>1.2413793103448276</v>
      </c>
      <c r="M148" s="5">
        <v>16593.7726440429</v>
      </c>
      <c r="N148" s="1">
        <f>G148*10^4*M148/C148</f>
        <v>8037608624.4582796</v>
      </c>
      <c r="O148" s="1">
        <f>H148*10^4*M148/C148</f>
        <v>7519053229.3319387</v>
      </c>
      <c r="P148" s="1">
        <f>I148*10000*M148/C148</f>
        <v>106303856.00089982</v>
      </c>
      <c r="Q148" s="1">
        <f>J148*10000*M148/C148</f>
        <v>93339971.122741312</v>
      </c>
    </row>
    <row r="149" spans="1:17" x14ac:dyDescent="0.2">
      <c r="A149" s="1" t="s">
        <v>37</v>
      </c>
      <c r="B149" s="1" t="s">
        <v>9</v>
      </c>
      <c r="C149" s="1">
        <v>55000</v>
      </c>
      <c r="D149" s="1">
        <v>15.1</v>
      </c>
      <c r="E149" s="1">
        <v>5.4</v>
      </c>
      <c r="F149" s="1">
        <v>3.4</v>
      </c>
      <c r="G149" s="2">
        <v>2200000</v>
      </c>
      <c r="H149" s="2">
        <v>1300000</v>
      </c>
      <c r="I149" s="2">
        <f>53*10^3</f>
        <v>53000</v>
      </c>
      <c r="J149" s="2">
        <f>45*10^3</f>
        <v>45000</v>
      </c>
      <c r="K149" s="1">
        <f t="shared" si="8"/>
        <v>2.4090909090909092</v>
      </c>
      <c r="L149" s="1">
        <f>J149/H149*100</f>
        <v>3.4615384615384617</v>
      </c>
      <c r="M149" s="5">
        <v>15413</v>
      </c>
      <c r="N149" s="1">
        <f>G149*10^4*M149/C149</f>
        <v>6165200000</v>
      </c>
      <c r="O149" s="1">
        <f>H149*10^4*M149/C149</f>
        <v>3643072727.2727275</v>
      </c>
      <c r="P149" s="1">
        <f>I149*10000*M149/C149</f>
        <v>148525272.72727272</v>
      </c>
      <c r="Q149" s="1">
        <f>J149*10000*M149/C149</f>
        <v>126106363.63636364</v>
      </c>
    </row>
    <row r="150" spans="1:17" x14ac:dyDescent="0.2">
      <c r="A150" s="1" t="s">
        <v>37</v>
      </c>
      <c r="B150" s="1" t="s">
        <v>10</v>
      </c>
      <c r="C150" s="1">
        <v>454000</v>
      </c>
      <c r="D150" s="1">
        <v>14.8</v>
      </c>
      <c r="E150" s="1">
        <v>1.1000000000000001</v>
      </c>
      <c r="F150" s="1">
        <v>1.1000000000000001</v>
      </c>
      <c r="G150" s="2">
        <v>2800000</v>
      </c>
      <c r="H150" s="2">
        <v>2100000</v>
      </c>
      <c r="I150" s="2">
        <f>74*10^3</f>
        <v>74000</v>
      </c>
      <c r="J150" s="2">
        <f>69*10^3</f>
        <v>69000</v>
      </c>
      <c r="K150" s="1">
        <f t="shared" si="8"/>
        <v>2.6428571428571428</v>
      </c>
      <c r="L150" s="1">
        <f>J150/H150*100</f>
        <v>3.2857142857142856</v>
      </c>
      <c r="M150" s="5">
        <v>133648</v>
      </c>
      <c r="N150" s="1">
        <f>G150*10^4*M150/C150</f>
        <v>8242607929.5154181</v>
      </c>
      <c r="O150" s="1">
        <f>H150*10^4*M150/C150</f>
        <v>6181955947.1365643</v>
      </c>
      <c r="P150" s="1">
        <f>I150*10000*M150/C150</f>
        <v>217840352.4229075</v>
      </c>
      <c r="Q150" s="1">
        <f>J150*10000*M150/C150</f>
        <v>203121409.69162995</v>
      </c>
    </row>
    <row r="151" spans="1:17" x14ac:dyDescent="0.2">
      <c r="A151" s="1" t="s">
        <v>37</v>
      </c>
      <c r="B151" s="1" t="s">
        <v>11</v>
      </c>
      <c r="C151" s="1">
        <v>62000</v>
      </c>
      <c r="D151" s="1">
        <v>13.8</v>
      </c>
      <c r="E151" s="1">
        <v>1.1000000000000001</v>
      </c>
      <c r="F151" s="1">
        <v>1</v>
      </c>
      <c r="G151" s="2">
        <v>2800000</v>
      </c>
      <c r="H151" s="2">
        <v>2100000</v>
      </c>
      <c r="I151" s="2">
        <f>47*10^3</f>
        <v>47000</v>
      </c>
      <c r="J151" s="2">
        <f>33*10^3</f>
        <v>33000</v>
      </c>
      <c r="K151" s="1">
        <f t="shared" si="8"/>
        <v>1.6785714285714286</v>
      </c>
      <c r="L151" s="1">
        <f>J151/H151*100</f>
        <v>1.5714285714285716</v>
      </c>
      <c r="M151" s="5">
        <v>18478</v>
      </c>
      <c r="N151" s="1">
        <f>G151*10^4*M151/C151</f>
        <v>8344903225.8064518</v>
      </c>
      <c r="O151" s="1">
        <f>H151*10^4*M151/C151</f>
        <v>6258677419.3548384</v>
      </c>
      <c r="P151" s="1">
        <f>I151*10000*M151/C151</f>
        <v>140075161.29032257</v>
      </c>
      <c r="Q151" s="1">
        <f>J151*10000*M151/C151</f>
        <v>98350645.161290318</v>
      </c>
    </row>
    <row r="152" spans="1:17" x14ac:dyDescent="0.2">
      <c r="A152" s="1" t="s">
        <v>40</v>
      </c>
      <c r="B152" s="1" t="s">
        <v>12</v>
      </c>
      <c r="C152" s="1">
        <v>124000</v>
      </c>
      <c r="D152" s="1">
        <v>20.5</v>
      </c>
      <c r="E152" s="1">
        <v>25.3</v>
      </c>
      <c r="F152" s="1">
        <v>4.7</v>
      </c>
      <c r="G152" s="2">
        <v>2900000</v>
      </c>
      <c r="H152" s="2">
        <v>1500000</v>
      </c>
      <c r="I152" s="2">
        <f>54*10^3</f>
        <v>54000</v>
      </c>
      <c r="J152" s="2">
        <f>43*10^3</f>
        <v>43000</v>
      </c>
      <c r="K152" s="1">
        <f t="shared" si="8"/>
        <v>1.8620689655172411</v>
      </c>
      <c r="L152" s="1">
        <f>J152/H152*100</f>
        <v>2.8666666666666667</v>
      </c>
      <c r="M152" s="5">
        <v>59659</v>
      </c>
      <c r="N152" s="1">
        <f>G152*10^4*M152/C152</f>
        <v>13952508064.516129</v>
      </c>
      <c r="O152" s="1">
        <f>H152*10^4*M152/C152</f>
        <v>7216814516.1290321</v>
      </c>
      <c r="P152" s="1">
        <f>I152*10000*M152/C152</f>
        <v>259805322.58064517</v>
      </c>
      <c r="Q152" s="1">
        <f>J152*10000*M152/C152</f>
        <v>206882016.12903225</v>
      </c>
    </row>
    <row r="153" spans="1:17" x14ac:dyDescent="0.2">
      <c r="A153" s="1" t="s">
        <v>40</v>
      </c>
      <c r="B153" s="1" t="s">
        <v>32</v>
      </c>
      <c r="C153" s="1">
        <v>471000</v>
      </c>
      <c r="D153" s="1">
        <v>15.9</v>
      </c>
      <c r="E153" s="1">
        <v>25.7</v>
      </c>
      <c r="F153" s="1">
        <v>3</v>
      </c>
      <c r="G153" s="2">
        <v>3000000</v>
      </c>
      <c r="H153" s="2" t="s">
        <v>8</v>
      </c>
      <c r="I153" s="2">
        <f>46*10^3</f>
        <v>46000</v>
      </c>
      <c r="J153" s="2">
        <f>39*10^3</f>
        <v>39000</v>
      </c>
      <c r="K153" s="1">
        <f t="shared" si="8"/>
        <v>1.5333333333333332</v>
      </c>
      <c r="L153" s="1" t="s">
        <v>8</v>
      </c>
      <c r="M153" s="5">
        <v>317362.35110000003</v>
      </c>
      <c r="N153" s="1">
        <f>G153*10^4*M153/C153</f>
        <v>20214162490.445858</v>
      </c>
      <c r="O153" s="1" t="s">
        <v>8</v>
      </c>
      <c r="P153" s="1">
        <f>I153*10000*M153/C153</f>
        <v>309950491.52016985</v>
      </c>
      <c r="Q153" s="1">
        <f>J153*10000*M153/C153</f>
        <v>262784112.3757962</v>
      </c>
    </row>
    <row r="154" spans="1:17" x14ac:dyDescent="0.2">
      <c r="A154" s="1" t="s">
        <v>40</v>
      </c>
      <c r="B154" s="1" t="s">
        <v>7</v>
      </c>
      <c r="C154" s="1">
        <v>64000</v>
      </c>
      <c r="D154" s="1">
        <v>16.3</v>
      </c>
      <c r="E154" s="1">
        <v>54.1</v>
      </c>
      <c r="F154" s="1">
        <v>8.4</v>
      </c>
      <c r="G154" s="2">
        <v>2400000</v>
      </c>
      <c r="H154" s="2">
        <v>2400000</v>
      </c>
      <c r="I154" s="2">
        <f>36*10^3</f>
        <v>36000</v>
      </c>
      <c r="J154" s="2">
        <f>25*10^3</f>
        <v>25000</v>
      </c>
      <c r="K154" s="1">
        <f t="shared" si="8"/>
        <v>1.5</v>
      </c>
      <c r="L154" s="1">
        <f>J154/H154*100</f>
        <v>1.0416666666666665</v>
      </c>
      <c r="M154" s="5">
        <v>70267.571044921802</v>
      </c>
      <c r="N154" s="1">
        <f>G154*10^4*M154/C154</f>
        <v>26350339141.845676</v>
      </c>
      <c r="O154" s="1">
        <f>H154*10^4*M154/C154</f>
        <v>26350339141.845676</v>
      </c>
      <c r="P154" s="1">
        <f>I154*10000*M154/C154</f>
        <v>395255087.12768513</v>
      </c>
      <c r="Q154" s="1">
        <f>J154*10000*M154/C154</f>
        <v>274482699.39422578</v>
      </c>
    </row>
    <row r="155" spans="1:17" x14ac:dyDescent="0.2">
      <c r="A155" s="1" t="s">
        <v>40</v>
      </c>
      <c r="B155" s="1" t="s">
        <v>9</v>
      </c>
      <c r="C155" s="1">
        <v>55000</v>
      </c>
      <c r="D155" s="1">
        <v>15.9</v>
      </c>
      <c r="E155" s="1">
        <v>20.8</v>
      </c>
      <c r="F155" s="1">
        <v>3.9</v>
      </c>
      <c r="G155" s="2">
        <v>2700000</v>
      </c>
      <c r="H155" s="2">
        <v>2400000</v>
      </c>
      <c r="I155" s="2">
        <f>19*10^3</f>
        <v>19000</v>
      </c>
      <c r="J155" s="2">
        <f>17*10^3</f>
        <v>17000</v>
      </c>
      <c r="K155" s="1">
        <f t="shared" si="8"/>
        <v>0.70370370370370372</v>
      </c>
      <c r="L155" s="1">
        <f>J155/H155*100</f>
        <v>0.70833333333333326</v>
      </c>
      <c r="M155" s="5">
        <v>41156</v>
      </c>
      <c r="N155" s="1">
        <f>G155*10^4*M155/C155</f>
        <v>20203854545.454544</v>
      </c>
      <c r="O155" s="1">
        <f>H155*10^4*M155/C155</f>
        <v>17958981818.18182</v>
      </c>
      <c r="P155" s="1">
        <f>I155*10000*M155/C155</f>
        <v>142175272.72727272</v>
      </c>
      <c r="Q155" s="1">
        <f>J155*10000*M155/C155</f>
        <v>127209454.54545455</v>
      </c>
    </row>
    <row r="156" spans="1:17" x14ac:dyDescent="0.2">
      <c r="A156" s="1" t="s">
        <v>40</v>
      </c>
      <c r="B156" s="1" t="s">
        <v>10</v>
      </c>
      <c r="C156" s="1">
        <v>454000</v>
      </c>
      <c r="D156" s="1">
        <v>18.5</v>
      </c>
      <c r="E156" s="1">
        <v>5.3</v>
      </c>
      <c r="F156" s="1">
        <v>0</v>
      </c>
      <c r="G156" s="2">
        <v>3600000</v>
      </c>
      <c r="H156" s="2">
        <v>2200000</v>
      </c>
      <c r="I156" s="2">
        <f>76*10^3</f>
        <v>76000</v>
      </c>
      <c r="J156" s="2" t="s">
        <v>8</v>
      </c>
      <c r="K156" s="1">
        <f t="shared" si="8"/>
        <v>2.1111111111111112</v>
      </c>
      <c r="L156" s="1" t="s">
        <v>8</v>
      </c>
      <c r="M156" s="5">
        <v>125421</v>
      </c>
      <c r="N156" s="1">
        <f>G156*10^4*M156/C156</f>
        <v>9945277533.0396481</v>
      </c>
      <c r="O156" s="1">
        <f>H156*10^4*M156/C156</f>
        <v>6077669603.524229</v>
      </c>
      <c r="P156" s="1">
        <f>I156*10000*M156/C156</f>
        <v>209955859.030837</v>
      </c>
      <c r="Q156" s="1" t="s">
        <v>8</v>
      </c>
    </row>
    <row r="157" spans="1:17" x14ac:dyDescent="0.2">
      <c r="A157" s="1" t="s">
        <v>40</v>
      </c>
      <c r="B157" s="1" t="s">
        <v>11</v>
      </c>
      <c r="C157" s="1">
        <v>62000</v>
      </c>
      <c r="D157" s="1">
        <v>17</v>
      </c>
      <c r="E157" s="1">
        <v>34.4</v>
      </c>
      <c r="F157" s="1">
        <v>2.2000000000000002</v>
      </c>
      <c r="G157" s="2">
        <v>4100000</v>
      </c>
      <c r="H157" s="3">
        <v>1600000</v>
      </c>
      <c r="I157" s="2">
        <f>37*10^3</f>
        <v>37000</v>
      </c>
      <c r="J157" s="2">
        <f>25*10^3</f>
        <v>25000</v>
      </c>
      <c r="K157" s="1">
        <f t="shared" si="8"/>
        <v>0.90243902439024382</v>
      </c>
      <c r="L157" s="1">
        <f>J157/H157*100</f>
        <v>1.5625</v>
      </c>
      <c r="M157" s="5">
        <v>28517</v>
      </c>
      <c r="N157" s="1">
        <f>G157*10^4*M157/C157</f>
        <v>18858016129.032257</v>
      </c>
      <c r="O157" s="1">
        <f>H157*10^4*M157/C157</f>
        <v>7359225806.4516125</v>
      </c>
      <c r="P157" s="1">
        <f>I157*10000*M157/C157</f>
        <v>170182096.77419356</v>
      </c>
      <c r="Q157" s="1">
        <f>J157*10000*M157/C157</f>
        <v>114987903.22580644</v>
      </c>
    </row>
    <row r="158" spans="1:17" x14ac:dyDescent="0.2">
      <c r="A158" s="1" t="s">
        <v>41</v>
      </c>
      <c r="B158" s="1" t="s">
        <v>12</v>
      </c>
      <c r="C158" s="1">
        <v>124000</v>
      </c>
      <c r="D158" s="1">
        <v>23.6</v>
      </c>
      <c r="E158" s="1">
        <v>0</v>
      </c>
      <c r="F158" s="1">
        <v>0</v>
      </c>
      <c r="G158" s="2">
        <f>33*10^5</f>
        <v>3300000</v>
      </c>
      <c r="H158" s="2">
        <f>26*10^5</f>
        <v>2600000</v>
      </c>
      <c r="I158" s="2">
        <f>58*10^3</f>
        <v>58000</v>
      </c>
      <c r="J158" s="2">
        <f>54*10^3</f>
        <v>54000</v>
      </c>
      <c r="K158" s="1">
        <f t="shared" si="8"/>
        <v>1.7575757575757573</v>
      </c>
      <c r="L158" s="1">
        <f>J158/H158*100</f>
        <v>2.0769230769230771</v>
      </c>
      <c r="M158" s="5">
        <v>36693</v>
      </c>
      <c r="N158" s="1">
        <f>G158*10^4*M158/C158</f>
        <v>9765072580.6451607</v>
      </c>
      <c r="O158" s="1">
        <f>H158*10^4*M158/C158</f>
        <v>7693693548.3870964</v>
      </c>
      <c r="P158" s="1">
        <f>I158*10000*M158/C158</f>
        <v>171628548.38709676</v>
      </c>
      <c r="Q158" s="1">
        <f>J158*10000*M158/C158</f>
        <v>159792096.77419356</v>
      </c>
    </row>
    <row r="159" spans="1:17" x14ac:dyDescent="0.2">
      <c r="A159" s="1" t="s">
        <v>41</v>
      </c>
      <c r="B159" s="1" t="s">
        <v>32</v>
      </c>
      <c r="C159" s="1">
        <v>471000</v>
      </c>
      <c r="D159" s="1">
        <v>18.7</v>
      </c>
      <c r="E159" s="1">
        <v>3.5</v>
      </c>
      <c r="F159" s="1">
        <v>0</v>
      </c>
      <c r="G159" s="2">
        <f>45*10^5</f>
        <v>4500000</v>
      </c>
      <c r="H159" s="2">
        <f>30*10^5</f>
        <v>3000000</v>
      </c>
      <c r="I159" s="2">
        <f>70*10^3</f>
        <v>70000</v>
      </c>
      <c r="J159" s="2">
        <f>50*10^3</f>
        <v>50000</v>
      </c>
      <c r="K159" s="1">
        <f t="shared" si="8"/>
        <v>1.5555555555555556</v>
      </c>
      <c r="L159" s="1">
        <f>J159/H159*100</f>
        <v>1.6666666666666667</v>
      </c>
      <c r="M159" s="5">
        <v>152327.171</v>
      </c>
      <c r="N159" s="1">
        <f>G159*10^4*M159/C159</f>
        <v>14553551369.426752</v>
      </c>
      <c r="O159" s="1">
        <f>H159*10^4*M159/C159</f>
        <v>9702367579.6178341</v>
      </c>
      <c r="P159" s="1">
        <f>I159*10000*M159/C159</f>
        <v>226388576.85774946</v>
      </c>
      <c r="Q159" s="1">
        <f>J159*10000*M159/C159</f>
        <v>161706126.3269639</v>
      </c>
    </row>
    <row r="160" spans="1:17" x14ac:dyDescent="0.2">
      <c r="A160" s="1" t="s">
        <v>41</v>
      </c>
      <c r="B160" s="1" t="s">
        <v>7</v>
      </c>
      <c r="C160" s="1">
        <v>64000</v>
      </c>
      <c r="D160" s="1">
        <v>18.100000000000001</v>
      </c>
      <c r="E160" s="1">
        <v>8.8000000000000007</v>
      </c>
      <c r="F160" s="1">
        <v>0</v>
      </c>
      <c r="G160" s="2">
        <f>47*10^5</f>
        <v>4700000</v>
      </c>
      <c r="H160" s="2">
        <f>46*10^5</f>
        <v>4600000</v>
      </c>
      <c r="I160" s="2">
        <f>76*10^3</f>
        <v>76000</v>
      </c>
      <c r="J160" s="2">
        <f>75*10^3</f>
        <v>75000</v>
      </c>
      <c r="K160" s="1">
        <f t="shared" si="8"/>
        <v>1.6170212765957446</v>
      </c>
      <c r="L160" s="1">
        <f>J160/H160*100</f>
        <v>1.6304347826086956</v>
      </c>
      <c r="M160" s="5">
        <v>28812.764770507802</v>
      </c>
      <c r="N160" s="1">
        <f>G160*10^4*M160/C160</f>
        <v>21159374128.341667</v>
      </c>
      <c r="O160" s="1">
        <f>H160*10^4*M160/C160</f>
        <v>20709174678.802479</v>
      </c>
      <c r="P160" s="1">
        <f>I160*10000*M160/C160</f>
        <v>342151581.64978015</v>
      </c>
      <c r="Q160" s="1">
        <f>J160*10000*M160/C160</f>
        <v>337649587.15438831</v>
      </c>
    </row>
    <row r="161" spans="1:17" x14ac:dyDescent="0.2">
      <c r="A161" s="1" t="s">
        <v>41</v>
      </c>
      <c r="B161" s="1" t="s">
        <v>9</v>
      </c>
      <c r="C161" s="1">
        <v>55000</v>
      </c>
      <c r="D161" s="1">
        <v>19.2</v>
      </c>
      <c r="E161" s="1">
        <v>4.5999999999999996</v>
      </c>
      <c r="F161" s="1">
        <v>0</v>
      </c>
      <c r="G161" s="2">
        <f>65*10^5</f>
        <v>6500000</v>
      </c>
      <c r="H161" s="2">
        <f>61*10^5</f>
        <v>6100000</v>
      </c>
      <c r="I161" s="2">
        <f>62*10^3</f>
        <v>62000</v>
      </c>
      <c r="J161" s="2">
        <f>46*10^3</f>
        <v>46000</v>
      </c>
      <c r="K161" s="1">
        <f t="shared" si="8"/>
        <v>0.9538461538461539</v>
      </c>
      <c r="L161" s="1">
        <f>J161/H161*100</f>
        <v>0.75409836065573776</v>
      </c>
      <c r="M161" s="5">
        <v>13185</v>
      </c>
      <c r="N161" s="1">
        <f>G161*10^4*M161/C161</f>
        <v>15582272727.272728</v>
      </c>
      <c r="O161" s="1">
        <f>H161*10^4*M161/C161</f>
        <v>14623363636.363636</v>
      </c>
      <c r="P161" s="1">
        <f>I161*10000*M161/C161</f>
        <v>148630909.09090909</v>
      </c>
      <c r="Q161" s="1">
        <f>J161*10000*M161/C161</f>
        <v>110274545.45454545</v>
      </c>
    </row>
    <row r="162" spans="1:17" x14ac:dyDescent="0.2">
      <c r="A162" s="1" t="s">
        <v>41</v>
      </c>
      <c r="B162" s="1" t="s">
        <v>10</v>
      </c>
      <c r="C162" s="1">
        <v>454000</v>
      </c>
      <c r="D162" s="1">
        <v>20.399999999999999</v>
      </c>
      <c r="E162" s="1">
        <v>0</v>
      </c>
      <c r="F162" s="1">
        <v>0</v>
      </c>
      <c r="G162" s="2">
        <f>53*10^5</f>
        <v>5300000</v>
      </c>
      <c r="H162" s="2">
        <f>46*10^5</f>
        <v>4600000</v>
      </c>
      <c r="I162" s="2">
        <f>114*10^3</f>
        <v>114000</v>
      </c>
      <c r="J162" s="2">
        <f>96*10^3</f>
        <v>96000</v>
      </c>
      <c r="K162" s="1">
        <f t="shared" ref="K162:K169" si="9">I162/G162*100</f>
        <v>2.1509433962264151</v>
      </c>
      <c r="L162" s="1">
        <f>J162/H162*100</f>
        <v>2.0869565217391308</v>
      </c>
      <c r="M162" s="5">
        <v>122869</v>
      </c>
      <c r="N162" s="1">
        <f>G162*10^4*M162/C162</f>
        <v>14343737885.462555</v>
      </c>
      <c r="O162" s="1">
        <f>H162*10^4*M162/C162</f>
        <v>12449281938.325991</v>
      </c>
      <c r="P162" s="1">
        <f>I162*10000*M162/C162</f>
        <v>308525682.81938326</v>
      </c>
      <c r="Q162" s="1">
        <f>J162*10000*M162/C162</f>
        <v>259811101.32158589</v>
      </c>
    </row>
    <row r="163" spans="1:17" x14ac:dyDescent="0.2">
      <c r="A163" s="1" t="s">
        <v>41</v>
      </c>
      <c r="B163" s="1" t="s">
        <v>11</v>
      </c>
      <c r="C163" s="1">
        <v>62000</v>
      </c>
      <c r="D163" s="1">
        <v>22.2</v>
      </c>
      <c r="E163" s="1">
        <v>0</v>
      </c>
      <c r="F163" s="1">
        <v>0</v>
      </c>
      <c r="G163" s="2">
        <f>56*10^5</f>
        <v>5600000</v>
      </c>
      <c r="H163" s="3">
        <f>43*10^5</f>
        <v>4300000</v>
      </c>
      <c r="I163" s="2">
        <f>66*10^3</f>
        <v>66000</v>
      </c>
      <c r="J163" s="2">
        <f>46*10^3</f>
        <v>46000</v>
      </c>
      <c r="K163" s="1">
        <f t="shared" si="9"/>
        <v>1.1785714285714286</v>
      </c>
      <c r="L163" s="1">
        <f>J163/H163*100</f>
        <v>1.0697674418604652</v>
      </c>
      <c r="M163" s="5">
        <v>14941</v>
      </c>
      <c r="N163" s="1">
        <f>G163*10^4*M163/C163</f>
        <v>13495096774.193548</v>
      </c>
      <c r="O163" s="1">
        <f>H163*10^4*M163/C163</f>
        <v>10362306451.612904</v>
      </c>
      <c r="P163" s="1">
        <f>I163*10000*M163/C163</f>
        <v>159049354.83870968</v>
      </c>
      <c r="Q163" s="1">
        <f>J163*10000*M163/C163</f>
        <v>110852580.64516129</v>
      </c>
    </row>
    <row r="164" spans="1:17" ht="16" x14ac:dyDescent="0.25">
      <c r="A164" s="1" t="s">
        <v>43</v>
      </c>
      <c r="B164" s="1" t="s">
        <v>12</v>
      </c>
      <c r="C164" s="1">
        <v>124000</v>
      </c>
      <c r="D164" s="1">
        <v>25</v>
      </c>
      <c r="E164" s="1">
        <v>3.3</v>
      </c>
      <c r="F164" s="1">
        <v>3.3</v>
      </c>
      <c r="G164" s="2">
        <f>19*10^5</f>
        <v>1900000</v>
      </c>
      <c r="H164" s="2">
        <f>17*10^5</f>
        <v>1700000</v>
      </c>
      <c r="I164" s="2">
        <f>29*10^3</f>
        <v>29000</v>
      </c>
      <c r="J164" s="2">
        <f>18*10^3</f>
        <v>18000</v>
      </c>
      <c r="K164" s="1">
        <f t="shared" si="9"/>
        <v>1.5263157894736841</v>
      </c>
      <c r="L164" s="1">
        <f>J164/H164*100</f>
        <v>1.0588235294117647</v>
      </c>
      <c r="M164" s="6">
        <v>35971</v>
      </c>
      <c r="N164" s="1">
        <f>G164*10^4*M164/C164</f>
        <v>5511685483.8709679</v>
      </c>
      <c r="O164" s="1">
        <f>H164*10^4*M164/C164</f>
        <v>4931508064.5161295</v>
      </c>
      <c r="P164" s="1">
        <f>I164*10000*M164/C164</f>
        <v>84125725.806451619</v>
      </c>
      <c r="Q164" s="1">
        <f>J164*10000*M164/C164</f>
        <v>52215967.741935484</v>
      </c>
    </row>
    <row r="165" spans="1:17" x14ac:dyDescent="0.2">
      <c r="A165" s="1" t="s">
        <v>43</v>
      </c>
      <c r="B165" s="1" t="s">
        <v>32</v>
      </c>
      <c r="C165" s="1">
        <v>471000</v>
      </c>
      <c r="D165" s="1">
        <v>22.9</v>
      </c>
      <c r="E165" s="1">
        <v>0.1</v>
      </c>
      <c r="F165" s="1">
        <v>0</v>
      </c>
      <c r="G165" s="2">
        <f>32*10^5</f>
        <v>3200000</v>
      </c>
      <c r="H165" s="2">
        <f>26*10^5</f>
        <v>2600000</v>
      </c>
      <c r="I165" s="2">
        <f>80*10^3</f>
        <v>80000</v>
      </c>
      <c r="J165" s="2">
        <f>65*10^3</f>
        <v>65000</v>
      </c>
      <c r="K165" s="1">
        <f t="shared" si="9"/>
        <v>2.5</v>
      </c>
      <c r="L165" s="1">
        <f>J165/H165*100</f>
        <v>2.5</v>
      </c>
      <c r="M165" s="5">
        <v>146958.43126666601</v>
      </c>
      <c r="N165" s="1">
        <f>G165*10^4*M165/C165</f>
        <v>9984436943.807457</v>
      </c>
      <c r="O165" s="1">
        <f>H165*10^4*M165/C165</f>
        <v>8112355016.8435593</v>
      </c>
      <c r="P165" s="1">
        <f>I165*10000*M165/C165</f>
        <v>249610923.59518644</v>
      </c>
      <c r="Q165" s="1">
        <f>J165*10000*M165/C165</f>
        <v>202808875.42108896</v>
      </c>
    </row>
    <row r="166" spans="1:17" x14ac:dyDescent="0.2">
      <c r="A166" s="1" t="s">
        <v>43</v>
      </c>
      <c r="B166" s="1" t="s">
        <v>7</v>
      </c>
      <c r="C166" s="1">
        <v>64000</v>
      </c>
      <c r="D166" s="1">
        <v>21.4</v>
      </c>
      <c r="E166" s="1">
        <v>8.1999999999999993</v>
      </c>
      <c r="F166" s="1">
        <v>8.1999999999999993</v>
      </c>
      <c r="G166" s="2">
        <f>36*10^5</f>
        <v>3600000</v>
      </c>
      <c r="H166" s="2">
        <f>29*10^5</f>
        <v>2900000</v>
      </c>
      <c r="I166" s="2">
        <f>107*10^3</f>
        <v>107000</v>
      </c>
      <c r="J166" s="2">
        <f>104*10^3</f>
        <v>104000</v>
      </c>
      <c r="K166" s="1">
        <f t="shared" si="9"/>
        <v>2.9722222222222223</v>
      </c>
      <c r="L166" s="1">
        <f>J166/H166*100</f>
        <v>3.5862068965517238</v>
      </c>
      <c r="M166" s="5">
        <v>24981</v>
      </c>
      <c r="N166" s="1">
        <f>G166*10^4*M166/C166</f>
        <v>14051812500</v>
      </c>
      <c r="O166" s="1">
        <f>H166*10^4*M166/C166</f>
        <v>11319515625</v>
      </c>
      <c r="P166" s="1">
        <f>I166*10000*M166/C166</f>
        <v>417651093.75</v>
      </c>
      <c r="Q166" s="1">
        <f>J166*10000*M166/C166</f>
        <v>405941250</v>
      </c>
    </row>
    <row r="167" spans="1:17" x14ac:dyDescent="0.2">
      <c r="A167" s="1" t="s">
        <v>43</v>
      </c>
      <c r="B167" s="1" t="s">
        <v>9</v>
      </c>
      <c r="C167" s="1">
        <v>55000</v>
      </c>
      <c r="D167" s="1">
        <v>22.9</v>
      </c>
      <c r="E167" s="1">
        <v>0.8</v>
      </c>
      <c r="F167" s="1">
        <v>0.7</v>
      </c>
      <c r="G167" s="2">
        <f>32*10^5</f>
        <v>3200000</v>
      </c>
      <c r="H167" s="2">
        <f>27*10^5</f>
        <v>2700000</v>
      </c>
      <c r="I167" s="2">
        <f>46*10^3</f>
        <v>46000</v>
      </c>
      <c r="J167" s="2">
        <f>45*10^3</f>
        <v>45000</v>
      </c>
      <c r="K167" s="1">
        <f t="shared" si="9"/>
        <v>1.4375</v>
      </c>
      <c r="L167" s="1">
        <f>J167/H167*100</f>
        <v>1.6666666666666667</v>
      </c>
      <c r="M167" s="5">
        <v>11809</v>
      </c>
      <c r="N167" s="1">
        <f>G167*10^4*M167/C167</f>
        <v>6870690909.090909</v>
      </c>
      <c r="O167" s="1">
        <f>H167*10^4*M167/C167</f>
        <v>5797145454.545455</v>
      </c>
      <c r="P167" s="1">
        <f>I167*10000*M167/C167</f>
        <v>98766181.818181813</v>
      </c>
      <c r="Q167" s="1">
        <f>J167*10000*M167/C167</f>
        <v>96619090.909090906</v>
      </c>
    </row>
    <row r="168" spans="1:17" ht="16" x14ac:dyDescent="0.25">
      <c r="A168" s="1" t="s">
        <v>43</v>
      </c>
      <c r="B168" s="1" t="s">
        <v>10</v>
      </c>
      <c r="C168" s="1">
        <v>454000</v>
      </c>
      <c r="D168" s="1">
        <v>25.7</v>
      </c>
      <c r="E168" s="1">
        <v>4</v>
      </c>
      <c r="F168" s="1">
        <v>4</v>
      </c>
      <c r="G168" s="2">
        <f>39*10^5</f>
        <v>3900000</v>
      </c>
      <c r="H168" s="2">
        <f>38*10^5</f>
        <v>3800000</v>
      </c>
      <c r="I168" s="2">
        <f>90*10^3</f>
        <v>90000</v>
      </c>
      <c r="J168" s="2">
        <f>74*10^3</f>
        <v>74000</v>
      </c>
      <c r="K168" s="1">
        <f t="shared" si="9"/>
        <v>2.3076923076923079</v>
      </c>
      <c r="L168" s="1">
        <f>J168/H168*100</f>
        <v>1.9473684210526316</v>
      </c>
      <c r="M168" s="6">
        <v>129901</v>
      </c>
      <c r="N168" s="1">
        <f>G168*10^4*M168/C168</f>
        <v>11158896475.770926</v>
      </c>
      <c r="O168" s="1">
        <f>H168*10^4*M168/C168</f>
        <v>10872770925.110132</v>
      </c>
      <c r="P168" s="1">
        <f>I168*10000*M168/C168</f>
        <v>257512995.59471366</v>
      </c>
      <c r="Q168" s="1">
        <f>J168*10000*M168/C168</f>
        <v>211732907.48898679</v>
      </c>
    </row>
    <row r="169" spans="1:17" x14ac:dyDescent="0.2">
      <c r="A169" s="1" t="s">
        <v>43</v>
      </c>
      <c r="B169" s="1" t="s">
        <v>11</v>
      </c>
      <c r="C169" s="1">
        <v>62000</v>
      </c>
      <c r="D169" s="1">
        <v>23.1</v>
      </c>
      <c r="E169" s="1">
        <v>0.2</v>
      </c>
      <c r="F169" s="1">
        <v>0</v>
      </c>
      <c r="G169" s="2">
        <f>35*10^5</f>
        <v>3500000</v>
      </c>
      <c r="H169" s="2" t="s">
        <v>8</v>
      </c>
      <c r="I169" s="2">
        <f>56*10^3</f>
        <v>56000</v>
      </c>
      <c r="J169" s="2">
        <f>31*10^3</f>
        <v>31000</v>
      </c>
      <c r="K169" s="1">
        <f t="shared" si="9"/>
        <v>1.6</v>
      </c>
      <c r="L169" s="1" t="s">
        <v>8</v>
      </c>
      <c r="M169" s="5">
        <v>14521</v>
      </c>
      <c r="N169" s="1">
        <f>G169*10^4*M169/C169</f>
        <v>8197338709.6774197</v>
      </c>
      <c r="O169" s="1" t="s">
        <v>8</v>
      </c>
      <c r="P169" s="1">
        <f>I169*10000*M169/C169</f>
        <v>131157419.35483871</v>
      </c>
      <c r="Q169" s="1">
        <f>J169*10000*M169/C169</f>
        <v>72605000</v>
      </c>
    </row>
    <row r="170" spans="1:17" ht="16" x14ac:dyDescent="0.25">
      <c r="A170" s="1" t="s">
        <v>44</v>
      </c>
      <c r="B170" s="1" t="s">
        <v>12</v>
      </c>
      <c r="C170" s="1">
        <v>124000</v>
      </c>
      <c r="D170" s="1">
        <v>22.6</v>
      </c>
      <c r="E170" s="1">
        <v>2.1</v>
      </c>
      <c r="F170" s="1">
        <v>2.1</v>
      </c>
      <c r="G170" s="2" t="s">
        <v>8</v>
      </c>
      <c r="H170" s="2" t="s">
        <v>8</v>
      </c>
      <c r="I170" s="2" t="s">
        <v>8</v>
      </c>
      <c r="J170" s="2" t="s">
        <v>8</v>
      </c>
      <c r="K170" s="1" t="s">
        <v>8</v>
      </c>
      <c r="L170" s="1" t="s">
        <v>8</v>
      </c>
      <c r="M170" s="6" t="s">
        <v>8</v>
      </c>
      <c r="N170" s="1" t="s">
        <v>8</v>
      </c>
      <c r="O170" s="1" t="s">
        <v>8</v>
      </c>
      <c r="P170" s="1" t="s">
        <v>8</v>
      </c>
      <c r="Q170" s="1" t="s">
        <v>8</v>
      </c>
    </row>
    <row r="171" spans="1:17" x14ac:dyDescent="0.2">
      <c r="A171" s="1" t="s">
        <v>44</v>
      </c>
      <c r="B171" s="1" t="s">
        <v>32</v>
      </c>
      <c r="C171" s="1">
        <v>471000</v>
      </c>
      <c r="D171" s="1">
        <v>17.7</v>
      </c>
      <c r="E171" s="1">
        <v>7.8</v>
      </c>
      <c r="F171" s="1">
        <v>0</v>
      </c>
      <c r="G171" s="2">
        <f>22*10^5</f>
        <v>2200000</v>
      </c>
      <c r="H171" s="2">
        <f>12*10^5</f>
        <v>1200000</v>
      </c>
      <c r="I171" s="2">
        <f>79*10^3</f>
        <v>79000</v>
      </c>
      <c r="J171" s="2">
        <f>40*10^3</f>
        <v>40000</v>
      </c>
      <c r="K171" s="1">
        <f t="shared" ref="K171:K218" si="10">I171/G171*100</f>
        <v>3.5909090909090913</v>
      </c>
      <c r="L171" s="1">
        <f>J171/H171*100</f>
        <v>3.3333333333333335</v>
      </c>
      <c r="M171" s="5">
        <v>216766.9712</v>
      </c>
      <c r="N171" s="1">
        <f>G171*10^4*M171/C171</f>
        <v>10124996531.634819</v>
      </c>
      <c r="O171" s="1">
        <f>H171*10^4*M171/C171</f>
        <v>5522725380.8917198</v>
      </c>
      <c r="P171" s="1">
        <f>I171*10000*M171/C171</f>
        <v>363579420.90870488</v>
      </c>
      <c r="Q171" s="1">
        <f>J171*10000*M171/C171</f>
        <v>184090846.029724</v>
      </c>
    </row>
    <row r="172" spans="1:17" x14ac:dyDescent="0.2">
      <c r="A172" s="1" t="s">
        <v>44</v>
      </c>
      <c r="B172" s="1" t="s">
        <v>7</v>
      </c>
      <c r="C172" s="1">
        <v>64000</v>
      </c>
      <c r="D172" s="1">
        <v>18.100000000000001</v>
      </c>
      <c r="E172" s="1">
        <v>7.2</v>
      </c>
      <c r="F172" s="1">
        <v>1.4</v>
      </c>
      <c r="G172" s="2">
        <f>69*10^5</f>
        <v>6900000</v>
      </c>
      <c r="H172" s="2">
        <f>55*10^5</f>
        <v>5500000</v>
      </c>
      <c r="I172" s="2">
        <f>96*10^3</f>
        <v>96000</v>
      </c>
      <c r="J172" s="2">
        <f>81*10^3</f>
        <v>81000</v>
      </c>
      <c r="K172" s="1">
        <f t="shared" si="10"/>
        <v>1.3913043478260869</v>
      </c>
      <c r="L172" s="1">
        <f>J172/H172*100</f>
        <v>1.4727272727272727</v>
      </c>
      <c r="M172" s="5">
        <v>24586</v>
      </c>
      <c r="N172" s="1">
        <f>G172*10^4*M172/C172</f>
        <v>26506781250</v>
      </c>
      <c r="O172" s="1">
        <f>H172*10^4*M172/C172</f>
        <v>21128593750</v>
      </c>
      <c r="P172" s="1">
        <f>I172*10000*M172/C172</f>
        <v>368790000</v>
      </c>
      <c r="Q172" s="1">
        <f>J172*10000*M172/C172</f>
        <v>311166562.5</v>
      </c>
    </row>
    <row r="173" spans="1:17" ht="16" x14ac:dyDescent="0.25">
      <c r="A173" s="1" t="s">
        <v>44</v>
      </c>
      <c r="B173" s="1" t="s">
        <v>9</v>
      </c>
      <c r="C173" s="1">
        <v>55000</v>
      </c>
      <c r="D173" s="1">
        <v>17.100000000000001</v>
      </c>
      <c r="E173" s="1">
        <v>15.5</v>
      </c>
      <c r="F173" s="1">
        <v>7.1</v>
      </c>
      <c r="G173" s="2">
        <f>42*10^5</f>
        <v>4200000</v>
      </c>
      <c r="H173" s="2">
        <f>40*10^5</f>
        <v>4000000</v>
      </c>
      <c r="I173" s="2">
        <f>44*10^3</f>
        <v>44000</v>
      </c>
      <c r="J173" s="2">
        <f>26*10^3</f>
        <v>26000</v>
      </c>
      <c r="K173" s="1">
        <f t="shared" si="10"/>
        <v>1.0476190476190477</v>
      </c>
      <c r="L173" s="1">
        <f>J173/H173*100</f>
        <v>0.65</v>
      </c>
      <c r="M173" s="6">
        <v>29490</v>
      </c>
      <c r="N173" s="1">
        <f>G173*10^4*M173/C173</f>
        <v>22519636363.636364</v>
      </c>
      <c r="O173" s="1">
        <f>H173*10^4*M173/C173</f>
        <v>21447272727.272728</v>
      </c>
      <c r="P173" s="1">
        <f>I173*10000*M173/C173</f>
        <v>235920000</v>
      </c>
      <c r="Q173" s="1">
        <f>J173*10000*M173/C173</f>
        <v>139407272.72727272</v>
      </c>
    </row>
    <row r="174" spans="1:17" x14ac:dyDescent="0.2">
      <c r="A174" s="1" t="s">
        <v>44</v>
      </c>
      <c r="B174" s="1" t="s">
        <v>10</v>
      </c>
      <c r="C174" s="1">
        <v>454000</v>
      </c>
      <c r="D174" s="1">
        <v>19.8</v>
      </c>
      <c r="E174" s="1">
        <v>1.1000000000000001</v>
      </c>
      <c r="F174" s="1">
        <v>0</v>
      </c>
      <c r="G174" s="2">
        <f>91*10^5</f>
        <v>9100000</v>
      </c>
      <c r="H174" s="2">
        <f>42*10^5</f>
        <v>4200000</v>
      </c>
      <c r="I174" s="2">
        <f>108*10^3</f>
        <v>108000</v>
      </c>
      <c r="J174" s="2">
        <f>102*10^3</f>
        <v>102000</v>
      </c>
      <c r="K174" s="1">
        <f t="shared" si="10"/>
        <v>1.1868131868131868</v>
      </c>
      <c r="L174" s="1">
        <f>J174/H174*100</f>
        <v>2.4285714285714284</v>
      </c>
      <c r="M174" s="5">
        <v>130044</v>
      </c>
      <c r="N174" s="1">
        <f>G174*10^4*M174/C174</f>
        <v>26066088105.726871</v>
      </c>
      <c r="O174" s="1">
        <f>H174*10^4*M174/C174</f>
        <v>12030502202.643171</v>
      </c>
      <c r="P174" s="1">
        <f>I174*10000*M174/C174</f>
        <v>309355770.92511016</v>
      </c>
      <c r="Q174" s="1">
        <f>J174*10000*M174/C174</f>
        <v>292169339.20704848</v>
      </c>
    </row>
    <row r="175" spans="1:17" x14ac:dyDescent="0.2">
      <c r="A175" s="1" t="s">
        <v>44</v>
      </c>
      <c r="B175" s="1" t="s">
        <v>11</v>
      </c>
      <c r="C175" s="1">
        <v>62000</v>
      </c>
      <c r="D175" s="1">
        <v>16.899999999999999</v>
      </c>
      <c r="E175" s="1">
        <v>5.2</v>
      </c>
      <c r="F175" s="1">
        <v>0</v>
      </c>
      <c r="G175" s="2">
        <f>63*10^5</f>
        <v>6300000</v>
      </c>
      <c r="H175" s="2">
        <f>29*10^5</f>
        <v>2900000</v>
      </c>
      <c r="I175" s="2">
        <f>88*10^3</f>
        <v>88000</v>
      </c>
      <c r="J175" s="2">
        <f>85*10^3</f>
        <v>85000</v>
      </c>
      <c r="K175" s="1">
        <f t="shared" si="10"/>
        <v>1.3968253968253967</v>
      </c>
      <c r="L175" s="1">
        <f>J175/H175*100</f>
        <v>2.9310344827586206</v>
      </c>
      <c r="M175" s="5">
        <v>15133</v>
      </c>
      <c r="N175" s="1">
        <f>G175*10^4*M175/C175</f>
        <v>15377080645.161291</v>
      </c>
      <c r="O175" s="1">
        <f>H175*10^4*M175/C175</f>
        <v>7078338709.6774197</v>
      </c>
      <c r="P175" s="1">
        <f>I175*10000*M175/C175</f>
        <v>214790967.74193549</v>
      </c>
      <c r="Q175" s="1">
        <f>J175*10000*M175/C175</f>
        <v>207468548.38709676</v>
      </c>
    </row>
    <row r="176" spans="1:17" ht="16" x14ac:dyDescent="0.25">
      <c r="A176" s="1" t="s">
        <v>45</v>
      </c>
      <c r="B176" s="1" t="s">
        <v>12</v>
      </c>
      <c r="C176" s="1">
        <v>124000</v>
      </c>
      <c r="D176" s="1">
        <v>24.8</v>
      </c>
      <c r="E176" s="1">
        <v>25.4</v>
      </c>
      <c r="F176" s="1">
        <v>0</v>
      </c>
      <c r="G176" s="2">
        <f>2*10^5</f>
        <v>200000</v>
      </c>
      <c r="H176" s="2">
        <f>1*10^5</f>
        <v>100000</v>
      </c>
      <c r="I176" s="2">
        <f>5*10^3</f>
        <v>5000</v>
      </c>
      <c r="J176" s="2">
        <f>4*10^3</f>
        <v>4000</v>
      </c>
      <c r="K176" s="1">
        <f t="shared" si="10"/>
        <v>2.5</v>
      </c>
      <c r="L176" s="1">
        <f>J176/H176*100</f>
        <v>4</v>
      </c>
      <c r="M176" s="6">
        <v>38444</v>
      </c>
      <c r="N176" s="1">
        <f>G176*10^4*M176/C176</f>
        <v>620064516.12903225</v>
      </c>
      <c r="O176" s="1">
        <f>H176*10^4*M176/C176</f>
        <v>310032258.06451613</v>
      </c>
      <c r="P176" s="1">
        <f>I176*10000*M176/C176</f>
        <v>15501612.903225806</v>
      </c>
      <c r="Q176" s="1">
        <f>J176*10000*M176/C176</f>
        <v>12401290.322580645</v>
      </c>
    </row>
    <row r="177" spans="1:17" ht="16" x14ac:dyDescent="0.25">
      <c r="A177" s="1" t="s">
        <v>45</v>
      </c>
      <c r="B177" s="1" t="s">
        <v>32</v>
      </c>
      <c r="C177" s="1">
        <v>471000</v>
      </c>
      <c r="D177" s="1">
        <v>20.7</v>
      </c>
      <c r="E177" s="1">
        <v>8.4</v>
      </c>
      <c r="F177" s="1">
        <v>0</v>
      </c>
      <c r="G177" s="2">
        <f>46*10^5</f>
        <v>4600000</v>
      </c>
      <c r="H177" s="2">
        <f>38*10^5</f>
        <v>3800000</v>
      </c>
      <c r="I177" s="2">
        <f>76*10^3</f>
        <v>76000</v>
      </c>
      <c r="J177" s="2">
        <f>62*10^3</f>
        <v>62000</v>
      </c>
      <c r="K177" s="1">
        <f t="shared" si="10"/>
        <v>1.652173913043478</v>
      </c>
      <c r="L177" s="1">
        <f>J177/H177*100</f>
        <v>1.631578947368421</v>
      </c>
      <c r="M177" s="6">
        <v>185075.34261666599</v>
      </c>
      <c r="N177" s="1">
        <f>G177*10^4*M177/C177</f>
        <v>18075298854.281605</v>
      </c>
      <c r="O177" s="1">
        <f>H177*10^4*M177/C177</f>
        <v>14931768618.75437</v>
      </c>
      <c r="P177" s="1">
        <f>I177*10000*M177/C177</f>
        <v>298635372.37508738</v>
      </c>
      <c r="Q177" s="1">
        <f>J177*10000*M177/C177</f>
        <v>243623593.25336078</v>
      </c>
    </row>
    <row r="178" spans="1:17" ht="16" x14ac:dyDescent="0.25">
      <c r="A178" s="1" t="s">
        <v>45</v>
      </c>
      <c r="B178" s="1" t="s">
        <v>7</v>
      </c>
      <c r="C178" s="1">
        <v>64000</v>
      </c>
      <c r="D178" s="1">
        <v>20.7</v>
      </c>
      <c r="E178" s="1">
        <v>10.3</v>
      </c>
      <c r="F178" s="1">
        <v>0.1</v>
      </c>
      <c r="G178" s="2">
        <f>38*10^5</f>
        <v>3800000</v>
      </c>
      <c r="H178" s="2">
        <f>28*10^5</f>
        <v>2800000</v>
      </c>
      <c r="I178" s="2">
        <f>84*10^3</f>
        <v>84000</v>
      </c>
      <c r="J178" s="2">
        <f>55*10^3</f>
        <v>55000</v>
      </c>
      <c r="K178" s="1">
        <f t="shared" si="10"/>
        <v>2.2105263157894735</v>
      </c>
      <c r="L178" s="1">
        <f>J178/H178*100</f>
        <v>1.9642857142857142</v>
      </c>
      <c r="M178" s="6">
        <v>31096</v>
      </c>
      <c r="N178" s="1">
        <f>G178*10^4*M178/C178</f>
        <v>18463250000</v>
      </c>
      <c r="O178" s="1">
        <f>H178*10^4*M178/C178</f>
        <v>13604500000</v>
      </c>
      <c r="P178" s="1">
        <f>I178*10000*M178/C178</f>
        <v>408135000</v>
      </c>
      <c r="Q178" s="1">
        <f>J178*10000*M178/C178</f>
        <v>267231250</v>
      </c>
    </row>
    <row r="179" spans="1:17" ht="16" x14ac:dyDescent="0.25">
      <c r="A179" s="1" t="s">
        <v>45</v>
      </c>
      <c r="B179" s="1" t="s">
        <v>9</v>
      </c>
      <c r="C179" s="1">
        <v>55000</v>
      </c>
      <c r="D179" s="1">
        <v>19.5</v>
      </c>
      <c r="E179" s="1">
        <v>23.5</v>
      </c>
      <c r="F179" s="1">
        <v>1.2</v>
      </c>
      <c r="G179" s="2">
        <f>47*10^5</f>
        <v>4700000</v>
      </c>
      <c r="H179" s="2">
        <f>32*10^5</f>
        <v>3200000</v>
      </c>
      <c r="I179" s="2">
        <f>51*10^3</f>
        <v>51000</v>
      </c>
      <c r="J179" s="2">
        <f>37*10^3</f>
        <v>37000</v>
      </c>
      <c r="K179" s="1">
        <f t="shared" si="10"/>
        <v>1.0851063829787235</v>
      </c>
      <c r="L179" s="1">
        <f>J179/H179*100</f>
        <v>1.15625</v>
      </c>
      <c r="M179" s="6">
        <v>17961</v>
      </c>
      <c r="N179" s="1">
        <f>G179*10^4*M179/C179</f>
        <v>15348490909.09091</v>
      </c>
      <c r="O179" s="1">
        <f>H179*10^4*M179/C179</f>
        <v>10450036363.636364</v>
      </c>
      <c r="P179" s="1">
        <f>I179*10000*M179/C179</f>
        <v>166547454.54545453</v>
      </c>
      <c r="Q179" s="1">
        <f>J179*10000*M179/C179</f>
        <v>120828545.45454545</v>
      </c>
    </row>
    <row r="180" spans="1:17" ht="16" x14ac:dyDescent="0.25">
      <c r="A180" s="1" t="s">
        <v>45</v>
      </c>
      <c r="B180" s="1" t="s">
        <v>10</v>
      </c>
      <c r="C180" s="1">
        <v>454000</v>
      </c>
      <c r="D180" s="1">
        <v>22.4</v>
      </c>
      <c r="E180" s="1">
        <v>4.5999999999999996</v>
      </c>
      <c r="F180" s="1">
        <v>0</v>
      </c>
      <c r="G180" s="2">
        <f>41*10^5</f>
        <v>4100000</v>
      </c>
      <c r="H180" s="2">
        <f>37*10^5</f>
        <v>3700000</v>
      </c>
      <c r="I180" s="2">
        <f>108*10^3</f>
        <v>108000</v>
      </c>
      <c r="J180" s="2">
        <f>102*10^3</f>
        <v>102000</v>
      </c>
      <c r="K180" s="1">
        <f t="shared" si="10"/>
        <v>2.6341463414634148</v>
      </c>
      <c r="L180" s="1">
        <f>J180/H180*100</f>
        <v>2.7567567567567566</v>
      </c>
      <c r="M180" s="6">
        <v>130914</v>
      </c>
      <c r="N180" s="1">
        <f>G180*10^4*M180/C180</f>
        <v>11822629955.947136</v>
      </c>
      <c r="O180" s="1">
        <f>H180*10^4*M180/C180</f>
        <v>10669202643.171806</v>
      </c>
      <c r="P180" s="1">
        <f>I180*10000*M180/C180</f>
        <v>311425374.44933921</v>
      </c>
      <c r="Q180" s="1">
        <f>J180*10000*M180/C180</f>
        <v>294123964.75770926</v>
      </c>
    </row>
    <row r="181" spans="1:17" ht="16" x14ac:dyDescent="0.25">
      <c r="A181" s="1" t="s">
        <v>45</v>
      </c>
      <c r="B181" s="1" t="s">
        <v>11</v>
      </c>
      <c r="C181" s="1">
        <v>62000</v>
      </c>
      <c r="D181" s="1">
        <v>20.100000000000001</v>
      </c>
      <c r="E181" s="1">
        <v>21.5</v>
      </c>
      <c r="F181" s="1">
        <v>0</v>
      </c>
      <c r="G181" s="2">
        <f>46*10^5</f>
        <v>4600000</v>
      </c>
      <c r="H181" s="2">
        <f>41*10^5</f>
        <v>4100000</v>
      </c>
      <c r="I181" s="2">
        <f>85*10^3</f>
        <v>85000</v>
      </c>
      <c r="J181" s="2">
        <f>72*10^3</f>
        <v>72000</v>
      </c>
      <c r="K181" s="1">
        <f t="shared" si="10"/>
        <v>1.8478260869565217</v>
      </c>
      <c r="L181" s="1">
        <f>J181/H181*100</f>
        <v>1.75609756097561</v>
      </c>
      <c r="M181" s="6">
        <v>16410</v>
      </c>
      <c r="N181" s="1">
        <f>G181*10^4*M181/C181</f>
        <v>12175161290.32258</v>
      </c>
      <c r="O181" s="1">
        <f>H181*10^4*M181/C181</f>
        <v>10851774193.548388</v>
      </c>
      <c r="P181" s="1">
        <f>I181*10000*M181/C181</f>
        <v>224975806.45161289</v>
      </c>
      <c r="Q181" s="1">
        <f>J181*10000*M181/C181</f>
        <v>190567741.93548387</v>
      </c>
    </row>
    <row r="182" spans="1:17" ht="16" x14ac:dyDescent="0.25">
      <c r="A182" s="1" t="s">
        <v>46</v>
      </c>
      <c r="B182" s="1" t="s">
        <v>12</v>
      </c>
      <c r="C182" s="1">
        <v>124000</v>
      </c>
      <c r="D182" s="1">
        <v>24.7</v>
      </c>
      <c r="E182" s="1">
        <v>0.6</v>
      </c>
      <c r="F182" s="1">
        <v>0</v>
      </c>
      <c r="G182" s="2">
        <f>21*10^5</f>
        <v>2100000</v>
      </c>
      <c r="H182" s="2">
        <f>19*10^5</f>
        <v>1900000</v>
      </c>
      <c r="I182" s="2">
        <f>36*10^3</f>
        <v>36000</v>
      </c>
      <c r="J182" s="2">
        <f>32*10^3</f>
        <v>32000</v>
      </c>
      <c r="K182" s="1">
        <f t="shared" si="10"/>
        <v>1.7142857142857144</v>
      </c>
      <c r="L182" s="1">
        <f>J182/H182*100</f>
        <v>1.6842105263157894</v>
      </c>
      <c r="M182" s="6">
        <v>33373</v>
      </c>
      <c r="N182" s="1">
        <f>G182*10^4*M182/C182</f>
        <v>5651879032.2580643</v>
      </c>
      <c r="O182" s="1">
        <f>H182*10^4*M182/C182</f>
        <v>5113604838.7096777</v>
      </c>
      <c r="P182" s="1">
        <f>I182*10000*M182/C182</f>
        <v>96889354.838709682</v>
      </c>
      <c r="Q182" s="1">
        <f>J182*10000*M182/C182</f>
        <v>86123870.967741936</v>
      </c>
    </row>
    <row r="183" spans="1:17" ht="16" x14ac:dyDescent="0.25">
      <c r="A183" s="1" t="s">
        <v>46</v>
      </c>
      <c r="B183" s="1" t="s">
        <v>32</v>
      </c>
      <c r="C183" s="1">
        <v>471000</v>
      </c>
      <c r="D183" s="1">
        <v>20.2</v>
      </c>
      <c r="E183" s="1">
        <v>0</v>
      </c>
      <c r="F183" s="1">
        <v>0</v>
      </c>
      <c r="G183" s="2">
        <f>73*10^5</f>
        <v>7300000</v>
      </c>
      <c r="H183" s="2">
        <f>61*10^5</f>
        <v>6100000</v>
      </c>
      <c r="I183" s="2">
        <f>99*10^3</f>
        <v>99000</v>
      </c>
      <c r="J183" s="2">
        <f>83*10^3</f>
        <v>83000</v>
      </c>
      <c r="K183" s="1">
        <f t="shared" si="10"/>
        <v>1.3561643835616439</v>
      </c>
      <c r="L183" s="1">
        <f>J183/H183*100</f>
        <v>1.360655737704918</v>
      </c>
      <c r="M183" s="6">
        <v>145549.37251666599</v>
      </c>
      <c r="N183" s="1">
        <f>G183*10^4*M183/C183</f>
        <v>22558607629.971584</v>
      </c>
      <c r="O183" s="1">
        <f>H183*10^4*M183/C183</f>
        <v>18850343362.031052</v>
      </c>
      <c r="P183" s="1">
        <f>I183*10000*M183/C183</f>
        <v>305931802.10509408</v>
      </c>
      <c r="Q183" s="1">
        <f>J183*10000*M183/C183</f>
        <v>256488278.53255364</v>
      </c>
    </row>
    <row r="184" spans="1:17" ht="16" x14ac:dyDescent="0.25">
      <c r="A184" s="1" t="s">
        <v>46</v>
      </c>
      <c r="B184" s="1" t="s">
        <v>7</v>
      </c>
      <c r="C184" s="1">
        <v>64000</v>
      </c>
      <c r="D184" s="1">
        <v>19.2</v>
      </c>
      <c r="E184" s="1">
        <v>0</v>
      </c>
      <c r="F184" s="1">
        <v>0</v>
      </c>
      <c r="G184" s="2">
        <f>108*10^5</f>
        <v>10800000</v>
      </c>
      <c r="H184" s="2">
        <f>105*10^5</f>
        <v>10500000</v>
      </c>
      <c r="I184" s="2">
        <f>141*10^3</f>
        <v>141000</v>
      </c>
      <c r="J184" s="2">
        <f>139*10^3</f>
        <v>139000</v>
      </c>
      <c r="K184" s="1">
        <f t="shared" si="10"/>
        <v>1.3055555555555556</v>
      </c>
      <c r="L184" s="1">
        <f>J184/H184*100</f>
        <v>1.3238095238095238</v>
      </c>
      <c r="M184" s="6">
        <v>15007</v>
      </c>
      <c r="N184" s="1">
        <f>G184*10^4*M184/C184</f>
        <v>25324312500</v>
      </c>
      <c r="O184" s="1">
        <f>H184*10^4*M184/C184</f>
        <v>24620859375</v>
      </c>
      <c r="P184" s="1">
        <f>I184*10000*M184/C184</f>
        <v>330622968.75</v>
      </c>
      <c r="Q184" s="1">
        <f>J184*10000*M184/C184</f>
        <v>325933281.25</v>
      </c>
    </row>
    <row r="185" spans="1:17" ht="16" x14ac:dyDescent="0.25">
      <c r="A185" s="1" t="s">
        <v>46</v>
      </c>
      <c r="B185" s="1" t="s">
        <v>9</v>
      </c>
      <c r="C185" s="1">
        <v>55000</v>
      </c>
      <c r="D185" s="1">
        <v>20.2</v>
      </c>
      <c r="E185" s="1">
        <v>0</v>
      </c>
      <c r="F185" s="1">
        <v>0</v>
      </c>
      <c r="G185" s="2">
        <f>61*10^5</f>
        <v>6100000</v>
      </c>
      <c r="H185" s="2">
        <f>59*10^5</f>
        <v>5900000</v>
      </c>
      <c r="I185" s="2">
        <f>135*10^3</f>
        <v>135000</v>
      </c>
      <c r="J185" s="2">
        <f>124*10^3</f>
        <v>124000</v>
      </c>
      <c r="K185" s="1">
        <f t="shared" si="10"/>
        <v>2.2131147540983607</v>
      </c>
      <c r="L185" s="1">
        <f>J185/H185*100</f>
        <v>2.1016949152542375</v>
      </c>
      <c r="M185" s="6">
        <v>10489</v>
      </c>
      <c r="N185" s="1">
        <f>G185*10^4*M185/C185</f>
        <v>11633254545.454546</v>
      </c>
      <c r="O185" s="1">
        <f>H185*10^4*M185/C185</f>
        <v>11251836363.636364</v>
      </c>
      <c r="P185" s="1">
        <f>I185*10000*M185/C185</f>
        <v>257457272.72727272</v>
      </c>
      <c r="Q185" s="1">
        <f>J185*10000*M185/C185</f>
        <v>236479272.72727272</v>
      </c>
    </row>
    <row r="186" spans="1:17" ht="16" x14ac:dyDescent="0.25">
      <c r="A186" s="1" t="s">
        <v>46</v>
      </c>
      <c r="B186" s="1" t="s">
        <v>10</v>
      </c>
      <c r="C186" s="1">
        <v>454000</v>
      </c>
      <c r="D186" s="1">
        <v>22.7</v>
      </c>
      <c r="E186" s="1">
        <v>0</v>
      </c>
      <c r="F186" s="1">
        <v>0</v>
      </c>
      <c r="G186" s="2">
        <f>61*10^5</f>
        <v>6100000</v>
      </c>
      <c r="H186" s="2">
        <f>58*10^5</f>
        <v>5800000</v>
      </c>
      <c r="I186" s="2">
        <f>125*10^3</f>
        <v>125000</v>
      </c>
      <c r="J186" s="2">
        <f>120*10^3</f>
        <v>120000</v>
      </c>
      <c r="K186" s="1">
        <f t="shared" si="10"/>
        <v>2.0491803278688523</v>
      </c>
      <c r="L186" s="1">
        <f>J186/H186*100</f>
        <v>2.0689655172413794</v>
      </c>
      <c r="M186" s="6">
        <v>117371</v>
      </c>
      <c r="N186" s="1">
        <f>G186*10^4*M186/C186</f>
        <v>15770112334.801762</v>
      </c>
      <c r="O186" s="1">
        <f>H186*10^4*M186/C186</f>
        <v>14994533039.647577</v>
      </c>
      <c r="P186" s="1">
        <f>I186*10000*M186/C186</f>
        <v>323158039.64757711</v>
      </c>
      <c r="Q186" s="1">
        <f>J186*10000*M186/C186</f>
        <v>310231718.061674</v>
      </c>
    </row>
    <row r="187" spans="1:17" ht="16" x14ac:dyDescent="0.25">
      <c r="A187" s="1" t="s">
        <v>46</v>
      </c>
      <c r="B187" s="1" t="s">
        <v>11</v>
      </c>
      <c r="C187" s="1">
        <v>62000</v>
      </c>
      <c r="D187" s="1">
        <v>20.399999999999999</v>
      </c>
      <c r="E187" s="1">
        <v>0</v>
      </c>
      <c r="F187" s="1">
        <v>0</v>
      </c>
      <c r="G187" s="2">
        <f>111*10^5</f>
        <v>11100000</v>
      </c>
      <c r="H187" s="2">
        <f>97*10^5</f>
        <v>9700000</v>
      </c>
      <c r="I187" s="2">
        <f>100*10^3</f>
        <v>100000</v>
      </c>
      <c r="J187" s="2">
        <f>88*10^3</f>
        <v>88000</v>
      </c>
      <c r="K187" s="1">
        <f t="shared" si="10"/>
        <v>0.90090090090090091</v>
      </c>
      <c r="L187" s="1">
        <f>J187/H187*100</f>
        <v>0.90721649484536082</v>
      </c>
      <c r="M187" s="6">
        <v>13448</v>
      </c>
      <c r="N187" s="1">
        <f>G187*10^4*M187/C187</f>
        <v>24076258064.516129</v>
      </c>
      <c r="O187" s="1">
        <f>H187*10^4*M187/C187</f>
        <v>21039612903.225807</v>
      </c>
      <c r="P187" s="1">
        <f>I187*10000*M187/C187</f>
        <v>216903225.80645162</v>
      </c>
      <c r="Q187" s="1">
        <f>J187*10000*M187/C187</f>
        <v>190874838.70967743</v>
      </c>
    </row>
    <row r="188" spans="1:17" ht="16" x14ac:dyDescent="0.25">
      <c r="A188" s="1" t="s">
        <v>47</v>
      </c>
      <c r="B188" s="1" t="s">
        <v>12</v>
      </c>
      <c r="C188" s="1">
        <v>124000</v>
      </c>
      <c r="D188" s="1">
        <v>27.5</v>
      </c>
      <c r="E188" s="1">
        <v>0</v>
      </c>
      <c r="F188" s="1">
        <v>0</v>
      </c>
      <c r="G188" s="2">
        <f>50*10^5</f>
        <v>5000000</v>
      </c>
      <c r="H188" s="2">
        <f>44*10^5</f>
        <v>4400000</v>
      </c>
      <c r="I188" s="2">
        <f>129*10^3</f>
        <v>129000</v>
      </c>
      <c r="J188" s="2">
        <f>104*10^3</f>
        <v>104000</v>
      </c>
      <c r="K188" s="1">
        <f t="shared" si="10"/>
        <v>2.58</v>
      </c>
      <c r="L188" s="1">
        <f>J188/H188*100</f>
        <v>2.3636363636363638</v>
      </c>
      <c r="M188" s="6">
        <v>35927</v>
      </c>
      <c r="N188" s="1">
        <f>G188*10^4*M188/C188</f>
        <v>14486693548.387096</v>
      </c>
      <c r="O188" s="1">
        <f>H188*10^4*M188/C188</f>
        <v>12748290322.580645</v>
      </c>
      <c r="P188" s="1">
        <f>I188*10000*M188/C188</f>
        <v>373756693.54838711</v>
      </c>
      <c r="Q188" s="1">
        <f>J188*10000*M188/C188</f>
        <v>301323225.80645162</v>
      </c>
    </row>
    <row r="189" spans="1:17" ht="16" x14ac:dyDescent="0.25">
      <c r="A189" s="1" t="s">
        <v>47</v>
      </c>
      <c r="B189" s="1" t="s">
        <v>32</v>
      </c>
      <c r="C189" s="1">
        <v>471000</v>
      </c>
      <c r="D189" s="1">
        <v>24.7</v>
      </c>
      <c r="E189" s="1">
        <v>0</v>
      </c>
      <c r="F189" s="1">
        <v>0</v>
      </c>
      <c r="G189" s="2">
        <f>62*10^5</f>
        <v>6200000</v>
      </c>
      <c r="H189" s="2">
        <f>51*10^5</f>
        <v>5100000</v>
      </c>
      <c r="I189" s="2">
        <f>103*10^3</f>
        <v>103000</v>
      </c>
      <c r="J189" s="2">
        <f>88*10^3</f>
        <v>88000</v>
      </c>
      <c r="K189" s="1">
        <f t="shared" si="10"/>
        <v>1.6612903225806452</v>
      </c>
      <c r="L189" s="1">
        <f>J189/H189*100</f>
        <v>1.7254901960784312</v>
      </c>
      <c r="M189" s="6">
        <v>133742.999016666</v>
      </c>
      <c r="N189" s="1">
        <f>G189*10^4*M189/C189</f>
        <v>17605235539.348816</v>
      </c>
      <c r="O189" s="1">
        <f>H189*10^4*M189/C189</f>
        <v>14481726008.174025</v>
      </c>
      <c r="P189" s="1">
        <f>I189*10000*M189/C189</f>
        <v>292474074.28273034</v>
      </c>
      <c r="Q189" s="1">
        <f>J189*10000*M189/C189</f>
        <v>249880762.49398318</v>
      </c>
    </row>
    <row r="190" spans="1:17" ht="16" x14ac:dyDescent="0.25">
      <c r="A190" s="1" t="s">
        <v>47</v>
      </c>
      <c r="B190" s="1" t="s">
        <v>7</v>
      </c>
      <c r="C190" s="1">
        <v>64000</v>
      </c>
      <c r="D190" s="1">
        <v>23.8</v>
      </c>
      <c r="E190" s="1">
        <v>0</v>
      </c>
      <c r="F190" s="1">
        <v>0</v>
      </c>
      <c r="G190" s="2">
        <f>73*10^5</f>
        <v>7300000</v>
      </c>
      <c r="H190" s="2">
        <f>63*10^5</f>
        <v>6300000</v>
      </c>
      <c r="I190" s="2">
        <f>188*10^3</f>
        <v>188000</v>
      </c>
      <c r="J190" s="2">
        <f>179*10^3</f>
        <v>179000</v>
      </c>
      <c r="K190" s="1">
        <f t="shared" si="10"/>
        <v>2.5753424657534247</v>
      </c>
      <c r="L190" s="1">
        <f>J190/H190*100</f>
        <v>2.8412698412698414</v>
      </c>
      <c r="M190" s="6">
        <v>14283</v>
      </c>
      <c r="N190" s="1">
        <f>G190*10^4*M190/C190</f>
        <v>16291546875</v>
      </c>
      <c r="O190" s="1">
        <f>H190*10^4*M190/C190</f>
        <v>14059828125</v>
      </c>
      <c r="P190" s="1">
        <f>I190*10000*M190/C190</f>
        <v>419563125</v>
      </c>
      <c r="Q190" s="1">
        <f>J190*10000*M190/C190</f>
        <v>399477656.25</v>
      </c>
    </row>
    <row r="191" spans="1:17" x14ac:dyDescent="0.2">
      <c r="A191" s="1" t="s">
        <v>47</v>
      </c>
      <c r="B191" s="1" t="s">
        <v>9</v>
      </c>
      <c r="C191" s="1">
        <v>55000</v>
      </c>
      <c r="D191" s="1">
        <v>26.9</v>
      </c>
      <c r="E191" s="1">
        <v>0</v>
      </c>
      <c r="F191" s="1">
        <v>0</v>
      </c>
      <c r="G191" s="2">
        <f>54*10^5</f>
        <v>5400000</v>
      </c>
      <c r="H191" s="2">
        <f>53*10^5</f>
        <v>5300000</v>
      </c>
      <c r="I191" s="2">
        <f>99*10^3</f>
        <v>99000</v>
      </c>
      <c r="J191" s="2">
        <f>87*10^3</f>
        <v>87000</v>
      </c>
      <c r="K191" s="1">
        <f t="shared" si="10"/>
        <v>1.8333333333333333</v>
      </c>
      <c r="L191" s="1">
        <f>J191/H191*100</f>
        <v>1.641509433962264</v>
      </c>
      <c r="M191" s="5">
        <v>10668</v>
      </c>
      <c r="N191" s="1">
        <f>G191*10^4*M191/C191</f>
        <v>10474036363.636364</v>
      </c>
      <c r="O191" s="1">
        <f>H191*10^4*M191/C191</f>
        <v>10280072727.272728</v>
      </c>
      <c r="P191" s="1">
        <f>I191*10000*M191/C191</f>
        <v>192024000</v>
      </c>
      <c r="Q191" s="1">
        <f>J191*10000*M191/C191</f>
        <v>168748363.63636363</v>
      </c>
    </row>
    <row r="192" spans="1:17" x14ac:dyDescent="0.2">
      <c r="A192" s="1" t="s">
        <v>47</v>
      </c>
      <c r="B192" s="1" t="s">
        <v>10</v>
      </c>
      <c r="C192" s="1">
        <v>454000</v>
      </c>
      <c r="D192" s="1">
        <v>28.1</v>
      </c>
      <c r="E192" s="1">
        <v>0</v>
      </c>
      <c r="F192" s="1">
        <v>0</v>
      </c>
      <c r="G192" s="2">
        <f>53*10^5</f>
        <v>5300000</v>
      </c>
      <c r="H192" s="2">
        <f>46*10^5</f>
        <v>4600000</v>
      </c>
      <c r="I192" s="2">
        <f>182*10^3</f>
        <v>182000</v>
      </c>
      <c r="J192" s="2">
        <f>152*10^3</f>
        <v>152000</v>
      </c>
      <c r="K192" s="1">
        <f t="shared" si="10"/>
        <v>3.4339622641509435</v>
      </c>
      <c r="L192" s="1">
        <f>J192/H192*100</f>
        <v>3.3043478260869561</v>
      </c>
      <c r="M192" s="5">
        <v>114158</v>
      </c>
      <c r="N192" s="1">
        <f>G192*10^4*M192/C192</f>
        <v>13326814977.973568</v>
      </c>
      <c r="O192" s="1">
        <f>H192*10^4*M192/C192</f>
        <v>11566669603.524229</v>
      </c>
      <c r="P192" s="1">
        <f>I192*10000*M192/C192</f>
        <v>457637797.35682821</v>
      </c>
      <c r="Q192" s="1">
        <f>J192*10000*M192/C192</f>
        <v>382202995.59471363</v>
      </c>
    </row>
    <row r="193" spans="1:17" ht="16" x14ac:dyDescent="0.25">
      <c r="A193" s="1" t="s">
        <v>47</v>
      </c>
      <c r="B193" s="1" t="s">
        <v>11</v>
      </c>
      <c r="C193" s="1">
        <v>62000</v>
      </c>
      <c r="D193" s="1">
        <v>24.4</v>
      </c>
      <c r="E193" s="1">
        <v>0</v>
      </c>
      <c r="F193" s="1">
        <v>0</v>
      </c>
      <c r="G193" s="2">
        <f>83*10^5</f>
        <v>8300000</v>
      </c>
      <c r="H193" s="2">
        <f>78*10^5</f>
        <v>7800000</v>
      </c>
      <c r="I193" s="2">
        <f>116*10^3</f>
        <v>116000</v>
      </c>
      <c r="J193" s="2">
        <f>113*10^3</f>
        <v>113000</v>
      </c>
      <c r="K193" s="1">
        <f t="shared" si="10"/>
        <v>1.3975903614457832</v>
      </c>
      <c r="L193" s="1">
        <f>J193/H193*100</f>
        <v>1.4487179487179487</v>
      </c>
      <c r="M193" s="6">
        <v>13249</v>
      </c>
      <c r="N193" s="1">
        <f>G193*10^4*M193/C193</f>
        <v>17736564516.129032</v>
      </c>
      <c r="O193" s="1">
        <f>H193*10^4*M193/C193</f>
        <v>16668096774.193548</v>
      </c>
      <c r="P193" s="1">
        <f>I193*10000*M193/C193</f>
        <v>247884516.12903225</v>
      </c>
      <c r="Q193" s="1">
        <f>J193*10000*M193/C193</f>
        <v>241473709.67741936</v>
      </c>
    </row>
    <row r="194" spans="1:17" x14ac:dyDescent="0.2">
      <c r="A194" s="1" t="s">
        <v>48</v>
      </c>
      <c r="B194" s="1" t="s">
        <v>12</v>
      </c>
      <c r="C194" s="1">
        <v>124000</v>
      </c>
      <c r="D194" s="1">
        <v>26.4</v>
      </c>
      <c r="E194" s="1">
        <v>2.2999999999999998</v>
      </c>
      <c r="F194" s="1">
        <v>1.8</v>
      </c>
      <c r="G194" s="2">
        <f>42*10^5</f>
        <v>4200000</v>
      </c>
      <c r="H194" s="2">
        <f>40*10^5</f>
        <v>4000000</v>
      </c>
      <c r="I194" s="2">
        <f>70*10^3</f>
        <v>70000</v>
      </c>
      <c r="J194" s="2">
        <f>70*10^3</f>
        <v>70000</v>
      </c>
      <c r="K194" s="1">
        <f t="shared" si="10"/>
        <v>1.6666666666666667</v>
      </c>
      <c r="L194" s="1">
        <f>J194/H194*100</f>
        <v>1.7500000000000002</v>
      </c>
      <c r="M194" s="5">
        <v>44810</v>
      </c>
      <c r="N194" s="1">
        <f>G194*10^4*M194/C194</f>
        <v>15177580645.161291</v>
      </c>
      <c r="O194" s="1">
        <f>H194*10^4*M194/C194</f>
        <v>14454838709.67742</v>
      </c>
      <c r="P194" s="1">
        <f>I194*10000*M194/C194</f>
        <v>252959677.41935483</v>
      </c>
      <c r="Q194" s="1">
        <f>J194*10000*M194/C194</f>
        <v>252959677.41935483</v>
      </c>
    </row>
    <row r="195" spans="1:17" x14ac:dyDescent="0.2">
      <c r="A195" s="1" t="s">
        <v>48</v>
      </c>
      <c r="B195" s="1" t="s">
        <v>32</v>
      </c>
      <c r="C195" s="1">
        <v>471000</v>
      </c>
      <c r="D195" s="1">
        <v>21.6</v>
      </c>
      <c r="E195" s="1">
        <v>4.8</v>
      </c>
      <c r="F195" s="1">
        <v>0</v>
      </c>
      <c r="G195" s="2">
        <f>63*10^5</f>
        <v>6300000</v>
      </c>
      <c r="H195" s="2">
        <f>60*10^5</f>
        <v>6000000</v>
      </c>
      <c r="I195" s="2">
        <f>131*10^3</f>
        <v>131000</v>
      </c>
      <c r="J195" s="2">
        <f>131*10^3</f>
        <v>131000</v>
      </c>
      <c r="K195" s="1">
        <f t="shared" si="10"/>
        <v>2.0793650793650795</v>
      </c>
      <c r="L195" s="1">
        <f>J195/H195*100</f>
        <v>2.1833333333333331</v>
      </c>
      <c r="M195" s="5">
        <v>137093.29839999901</v>
      </c>
      <c r="N195" s="1">
        <f>G195*10^4*M195/C195</f>
        <v>18337320168.152733</v>
      </c>
      <c r="O195" s="1">
        <f>H195*10^4*M195/C195</f>
        <v>17464114445.859749</v>
      </c>
      <c r="P195" s="1">
        <f>I195*10000*M195/C195</f>
        <v>381299832.06793785</v>
      </c>
      <c r="Q195" s="1">
        <f>J195*10000*M195/C195</f>
        <v>381299832.06793785</v>
      </c>
    </row>
    <row r="196" spans="1:17" x14ac:dyDescent="0.2">
      <c r="A196" s="1" t="s">
        <v>48</v>
      </c>
      <c r="B196" s="1" t="s">
        <v>7</v>
      </c>
      <c r="C196" s="1">
        <v>64000</v>
      </c>
      <c r="D196" s="1">
        <v>21.1</v>
      </c>
      <c r="E196" s="1">
        <v>17.899999999999999</v>
      </c>
      <c r="F196" s="1">
        <v>0.5</v>
      </c>
      <c r="G196" s="2">
        <f>71*10^5</f>
        <v>7100000</v>
      </c>
      <c r="H196" s="2">
        <f>70*10^5</f>
        <v>7000000</v>
      </c>
      <c r="I196" s="2">
        <f>119*10^3</f>
        <v>119000</v>
      </c>
      <c r="J196" s="2">
        <f>111*10^3</f>
        <v>111000</v>
      </c>
      <c r="K196" s="1">
        <f t="shared" si="10"/>
        <v>1.676056338028169</v>
      </c>
      <c r="L196" s="1">
        <f>J196/H196*100</f>
        <v>1.5857142857142859</v>
      </c>
      <c r="M196" s="5">
        <v>23738</v>
      </c>
      <c r="N196" s="1">
        <f>G196*10^4*M196/C196</f>
        <v>26334343750</v>
      </c>
      <c r="O196" s="1">
        <f>H196*10^4*M196/C196</f>
        <v>25963437500</v>
      </c>
      <c r="P196" s="1">
        <f>I196*10000*M196/C196</f>
        <v>441378437.5</v>
      </c>
      <c r="Q196" s="1">
        <f>J196*10000*M196/C196</f>
        <v>411705937.5</v>
      </c>
    </row>
    <row r="197" spans="1:17" x14ac:dyDescent="0.2">
      <c r="A197" s="1" t="s">
        <v>48</v>
      </c>
      <c r="B197" s="1" t="s">
        <v>9</v>
      </c>
      <c r="C197" s="1">
        <v>55000</v>
      </c>
      <c r="D197" s="1">
        <v>20.8</v>
      </c>
      <c r="E197" s="1">
        <v>17.7</v>
      </c>
      <c r="F197" s="1">
        <v>1</v>
      </c>
      <c r="G197" s="2">
        <f>69*10^5</f>
        <v>6900000</v>
      </c>
      <c r="H197" s="2">
        <f>48*10^5</f>
        <v>4800000</v>
      </c>
      <c r="I197" s="2">
        <f>58*10^3</f>
        <v>58000</v>
      </c>
      <c r="J197" s="2">
        <f>34*10^3</f>
        <v>34000</v>
      </c>
      <c r="K197" s="1">
        <f t="shared" si="10"/>
        <v>0.84057971014492761</v>
      </c>
      <c r="L197" s="1">
        <f>J197/H197*100</f>
        <v>0.70833333333333326</v>
      </c>
      <c r="M197" s="5">
        <v>23120</v>
      </c>
      <c r="N197" s="1">
        <f>G197*10^4*M197/C197</f>
        <v>29005090909.090908</v>
      </c>
      <c r="O197" s="1">
        <f>H197*10^4*M197/C197</f>
        <v>20177454545.454544</v>
      </c>
      <c r="P197" s="1">
        <f>I197*10000*M197/C197</f>
        <v>243810909.09090909</v>
      </c>
      <c r="Q197" s="1">
        <f>J197*10000*M197/C197</f>
        <v>142923636.36363637</v>
      </c>
    </row>
    <row r="198" spans="1:17" x14ac:dyDescent="0.2">
      <c r="A198" s="1" t="s">
        <v>48</v>
      </c>
      <c r="B198" s="1" t="s">
        <v>10</v>
      </c>
      <c r="C198" s="1">
        <v>454000</v>
      </c>
      <c r="D198" s="1">
        <v>23.8</v>
      </c>
      <c r="E198" s="1">
        <v>0.1</v>
      </c>
      <c r="F198" s="1">
        <v>0</v>
      </c>
      <c r="G198" s="2">
        <f>87*10^5</f>
        <v>8700000</v>
      </c>
      <c r="H198" s="2">
        <f>67*10^5</f>
        <v>6700000</v>
      </c>
      <c r="I198" s="2">
        <f>184*10^3</f>
        <v>184000</v>
      </c>
      <c r="J198" s="2">
        <f>173*10^3</f>
        <v>173000</v>
      </c>
      <c r="K198" s="1">
        <f t="shared" si="10"/>
        <v>2.1149425287356323</v>
      </c>
      <c r="L198" s="1">
        <f>J198/H198*100</f>
        <v>2.5820895522388061</v>
      </c>
      <c r="M198" s="5">
        <v>106042</v>
      </c>
      <c r="N198" s="1">
        <f>G198*10^4*M198/C198</f>
        <v>20320823788.546257</v>
      </c>
      <c r="O198" s="1">
        <f>H198*10^4*M198/C198</f>
        <v>15649370044.052864</v>
      </c>
      <c r="P198" s="1">
        <f>I198*10000*M198/C198</f>
        <v>429773744.49339205</v>
      </c>
      <c r="Q198" s="1">
        <f>J198*10000*M198/C198</f>
        <v>404080748.89867842</v>
      </c>
    </row>
    <row r="199" spans="1:17" x14ac:dyDescent="0.2">
      <c r="A199" s="1" t="s">
        <v>48</v>
      </c>
      <c r="B199" s="1" t="s">
        <v>11</v>
      </c>
      <c r="C199" s="1">
        <v>62000</v>
      </c>
      <c r="D199" s="1">
        <v>20.9</v>
      </c>
      <c r="E199" s="1">
        <v>10.199999999999999</v>
      </c>
      <c r="F199" s="1">
        <v>0</v>
      </c>
      <c r="G199" s="2">
        <f>53*10^5</f>
        <v>5300000</v>
      </c>
      <c r="H199" s="2">
        <f>52*10^5</f>
        <v>5200000</v>
      </c>
      <c r="I199" s="2">
        <f>113*10^3</f>
        <v>113000</v>
      </c>
      <c r="J199" s="2">
        <f>90*10^3</f>
        <v>90000</v>
      </c>
      <c r="K199" s="1">
        <f t="shared" si="10"/>
        <v>2.132075471698113</v>
      </c>
      <c r="L199" s="1">
        <f>J199/H199*100</f>
        <v>1.7307692307692308</v>
      </c>
      <c r="M199" s="5">
        <v>13616</v>
      </c>
      <c r="N199" s="1">
        <f>G199*10^4*M199/C199</f>
        <v>11639483870.967741</v>
      </c>
      <c r="O199" s="1">
        <f>H199*10^4*M199/C199</f>
        <v>11419870967.741936</v>
      </c>
      <c r="P199" s="1">
        <f>I199*10000*M199/C199</f>
        <v>248162580.6451613</v>
      </c>
      <c r="Q199" s="1">
        <f>J199*10000*M199/C199</f>
        <v>197651612.90322581</v>
      </c>
    </row>
    <row r="200" spans="1:17" ht="16" x14ac:dyDescent="0.25">
      <c r="A200" s="1" t="s">
        <v>49</v>
      </c>
      <c r="B200" s="1" t="s">
        <v>12</v>
      </c>
      <c r="C200" s="1">
        <v>124000</v>
      </c>
      <c r="D200" s="1">
        <v>26.4</v>
      </c>
      <c r="E200" s="1">
        <v>0</v>
      </c>
      <c r="F200" s="1">
        <v>0</v>
      </c>
      <c r="G200" s="2">
        <f>38*10^5</f>
        <v>3800000</v>
      </c>
      <c r="H200" s="2">
        <f>31*10^5</f>
        <v>3100000</v>
      </c>
      <c r="I200" s="2">
        <f>39*10^3</f>
        <v>39000</v>
      </c>
      <c r="J200" s="2">
        <f>35*10^3</f>
        <v>35000</v>
      </c>
      <c r="K200" s="1">
        <f t="shared" si="10"/>
        <v>1.0263157894736843</v>
      </c>
      <c r="L200" s="1">
        <f>J200/H200*100</f>
        <v>1.129032258064516</v>
      </c>
      <c r="M200" s="6">
        <v>30891</v>
      </c>
      <c r="N200" s="1">
        <f>G200*10^4*M200/C200</f>
        <v>9466596774.1935482</v>
      </c>
      <c r="O200" s="1">
        <f>H200*10^4*M200/C200</f>
        <v>7722750000</v>
      </c>
      <c r="P200" s="1">
        <f>I200*10000*M200/C200</f>
        <v>97157177.419354841</v>
      </c>
      <c r="Q200" s="1">
        <f>J200*10000*M200/C200</f>
        <v>87192338.709677413</v>
      </c>
    </row>
    <row r="201" spans="1:17" x14ac:dyDescent="0.2">
      <c r="A201" s="1" t="s">
        <v>49</v>
      </c>
      <c r="B201" s="1" t="s">
        <v>32</v>
      </c>
      <c r="C201" s="1">
        <v>471000</v>
      </c>
      <c r="D201" s="1">
        <v>22.4</v>
      </c>
      <c r="E201" s="1">
        <v>1.2</v>
      </c>
      <c r="F201" s="1">
        <v>0</v>
      </c>
      <c r="G201" s="2">
        <f>88*10^5</f>
        <v>8800000</v>
      </c>
      <c r="H201" s="2">
        <f>86*10^5</f>
        <v>8600000</v>
      </c>
      <c r="I201" s="2">
        <f>140*10^3</f>
        <v>140000</v>
      </c>
      <c r="J201" s="2">
        <f>104*10^3</f>
        <v>104000</v>
      </c>
      <c r="K201" s="1">
        <f t="shared" si="10"/>
        <v>1.5909090909090908</v>
      </c>
      <c r="L201" s="1">
        <f>J201/H201*100</f>
        <v>1.2093023255813953</v>
      </c>
      <c r="M201" s="5">
        <v>133430.02396666599</v>
      </c>
      <c r="N201" s="1">
        <f>G201*10^4*M201/C201</f>
        <v>24929601080.820824</v>
      </c>
      <c r="O201" s="1">
        <f>H201*10^4*M201/C201</f>
        <v>24363019238.074898</v>
      </c>
      <c r="P201" s="1">
        <f>I201*10000*M201/C201</f>
        <v>396607289.92214942</v>
      </c>
      <c r="Q201" s="1">
        <f>J201*10000*M201/C201</f>
        <v>294622558.22788244</v>
      </c>
    </row>
    <row r="202" spans="1:17" x14ac:dyDescent="0.2">
      <c r="A202" s="1" t="s">
        <v>49</v>
      </c>
      <c r="B202" s="1" t="s">
        <v>7</v>
      </c>
      <c r="C202" s="1">
        <v>64000</v>
      </c>
      <c r="D202" s="1">
        <v>21.8</v>
      </c>
      <c r="E202" s="1">
        <v>6.3</v>
      </c>
      <c r="F202" s="1">
        <v>0</v>
      </c>
      <c r="G202" s="2">
        <f>91*10^5</f>
        <v>9100000</v>
      </c>
      <c r="H202" s="2">
        <f>86*10^5</f>
        <v>8600000</v>
      </c>
      <c r="I202" s="2">
        <f>184*10^3</f>
        <v>184000</v>
      </c>
      <c r="J202" s="2">
        <f>143*10^3</f>
        <v>143000</v>
      </c>
      <c r="K202" s="1">
        <f t="shared" si="10"/>
        <v>2.0219780219780223</v>
      </c>
      <c r="L202" s="1">
        <f>J202/H202*100</f>
        <v>1.6627906976744187</v>
      </c>
      <c r="M202" s="5">
        <v>16525</v>
      </c>
      <c r="N202" s="1">
        <f>G202*10^4*M202/C202</f>
        <v>23496484375</v>
      </c>
      <c r="O202" s="1">
        <f>H202*10^4*M202/C202</f>
        <v>22205468750</v>
      </c>
      <c r="P202" s="1">
        <f>I202*10000*M202/C202</f>
        <v>475093750</v>
      </c>
      <c r="Q202" s="1">
        <f>J202*10000*M202/C202</f>
        <v>369230468.75</v>
      </c>
    </row>
    <row r="203" spans="1:17" x14ac:dyDescent="0.2">
      <c r="A203" s="1" t="s">
        <v>49</v>
      </c>
      <c r="B203" s="1" t="s">
        <v>9</v>
      </c>
      <c r="C203" s="1">
        <v>55000</v>
      </c>
      <c r="D203" s="1">
        <v>21.9</v>
      </c>
      <c r="E203" s="1">
        <v>12</v>
      </c>
      <c r="F203" s="1">
        <v>0</v>
      </c>
      <c r="G203" s="2">
        <f>42*10^5</f>
        <v>4200000</v>
      </c>
      <c r="H203" s="2">
        <f>40*10^5</f>
        <v>4000000</v>
      </c>
      <c r="I203" s="2">
        <f>77*10^3</f>
        <v>77000</v>
      </c>
      <c r="J203" s="2">
        <f>64*10^3</f>
        <v>64000</v>
      </c>
      <c r="K203" s="1">
        <f t="shared" si="10"/>
        <v>1.8333333333333333</v>
      </c>
      <c r="L203" s="1">
        <f>J203/H203*100</f>
        <v>1.6</v>
      </c>
      <c r="M203" s="5">
        <v>27849</v>
      </c>
      <c r="N203" s="1">
        <f>G203*10^4*M203/C203</f>
        <v>21266509090.909092</v>
      </c>
      <c r="O203" s="1">
        <f>H203*10^4*M203/C203</f>
        <v>20253818181.81818</v>
      </c>
      <c r="P203" s="1">
        <f>I203*10000*M203/C203</f>
        <v>389886000</v>
      </c>
      <c r="Q203" s="1">
        <f>J203*10000*M203/C203</f>
        <v>324061090.90909094</v>
      </c>
    </row>
    <row r="204" spans="1:17" x14ac:dyDescent="0.2">
      <c r="A204" s="1" t="s">
        <v>49</v>
      </c>
      <c r="B204" s="1" t="s">
        <v>10</v>
      </c>
      <c r="C204" s="1">
        <v>454000</v>
      </c>
      <c r="D204" s="1">
        <v>25</v>
      </c>
      <c r="E204" s="1">
        <v>0</v>
      </c>
      <c r="F204" s="1">
        <v>0</v>
      </c>
      <c r="G204" s="2">
        <f>65*10^5</f>
        <v>6500000</v>
      </c>
      <c r="H204" s="2">
        <f>61*10^5</f>
        <v>6100000</v>
      </c>
      <c r="I204" s="2">
        <f>149*10^3</f>
        <v>149000</v>
      </c>
      <c r="J204" s="2">
        <f>143*10^3</f>
        <v>143000</v>
      </c>
      <c r="K204" s="1">
        <f t="shared" si="10"/>
        <v>2.2923076923076926</v>
      </c>
      <c r="L204" s="1">
        <f>J204/H204*100</f>
        <v>2.3442622950819674</v>
      </c>
      <c r="M204" s="5">
        <v>98326</v>
      </c>
      <c r="N204" s="1">
        <f>G204*10^4*M204/C204</f>
        <v>14077511013.215858</v>
      </c>
      <c r="O204" s="1">
        <f>H204*10^4*M204/C204</f>
        <v>13211202643.171806</v>
      </c>
      <c r="P204" s="1">
        <f>I204*10000*M204/C204</f>
        <v>322699867.84140968</v>
      </c>
      <c r="Q204" s="1">
        <f>J204*10000*M204/C204</f>
        <v>309705242.29074889</v>
      </c>
    </row>
    <row r="205" spans="1:17" x14ac:dyDescent="0.2">
      <c r="A205" s="1" t="s">
        <v>49</v>
      </c>
      <c r="B205" s="1" t="s">
        <v>11</v>
      </c>
      <c r="C205" s="1">
        <v>62000</v>
      </c>
      <c r="D205" s="1">
        <v>22.4</v>
      </c>
      <c r="E205" s="1">
        <v>0</v>
      </c>
      <c r="F205" s="1">
        <v>0</v>
      </c>
      <c r="G205" s="2">
        <f>114*10^5</f>
        <v>11400000</v>
      </c>
      <c r="H205" s="2">
        <f>105*10^5</f>
        <v>10500000</v>
      </c>
      <c r="I205" s="2">
        <f>104*10^3</f>
        <v>104000</v>
      </c>
      <c r="J205" s="2">
        <f>76*10^3</f>
        <v>76000</v>
      </c>
      <c r="K205" s="1">
        <f t="shared" si="10"/>
        <v>0.91228070175438591</v>
      </c>
      <c r="L205" s="1">
        <f>J205/H205*100</f>
        <v>0.72380952380952379</v>
      </c>
      <c r="M205" s="5">
        <v>13473</v>
      </c>
      <c r="N205" s="1">
        <f>G205*10^4*M205/C205</f>
        <v>24772935483.870968</v>
      </c>
      <c r="O205" s="1">
        <f>H205*10^4*M205/C205</f>
        <v>22817177419.354839</v>
      </c>
      <c r="P205" s="1">
        <f>I205*10000*M205/C205</f>
        <v>225998709.67741936</v>
      </c>
      <c r="Q205" s="1">
        <f>J205*10000*M205/C205</f>
        <v>165152903.22580644</v>
      </c>
    </row>
    <row r="206" spans="1:17" ht="16" x14ac:dyDescent="0.25">
      <c r="A206" s="1" t="s">
        <v>50</v>
      </c>
      <c r="B206" s="1" t="s">
        <v>12</v>
      </c>
      <c r="C206" s="1">
        <v>124000</v>
      </c>
      <c r="D206" s="1">
        <v>25.4</v>
      </c>
      <c r="E206" s="1">
        <v>29.6</v>
      </c>
      <c r="F206" s="1">
        <v>0</v>
      </c>
      <c r="G206" s="2">
        <f>27*10^5</f>
        <v>2700000</v>
      </c>
      <c r="H206" s="2">
        <f>9*10^5</f>
        <v>900000</v>
      </c>
      <c r="I206" s="2">
        <f>63*10^3</f>
        <v>63000</v>
      </c>
      <c r="J206" s="2">
        <f>33*10^3</f>
        <v>33000</v>
      </c>
      <c r="K206" s="1">
        <f t="shared" si="10"/>
        <v>2.3333333333333335</v>
      </c>
      <c r="L206" s="1">
        <f>J206/H206*100</f>
        <v>3.6666666666666665</v>
      </c>
      <c r="M206" s="6">
        <v>34788</v>
      </c>
      <c r="N206" s="1">
        <f>G206*10^4*M206/C206</f>
        <v>7574806451.6129036</v>
      </c>
      <c r="O206" s="1">
        <f>H206*10^4*M206/C206</f>
        <v>2524935483.8709679</v>
      </c>
      <c r="P206" s="1">
        <f>I206*10000*M206/C206</f>
        <v>176745483.87096775</v>
      </c>
      <c r="Q206" s="1">
        <f>J206*10000*M206/C206</f>
        <v>92580967.741935477</v>
      </c>
    </row>
    <row r="207" spans="1:17" x14ac:dyDescent="0.2">
      <c r="A207" s="1" t="s">
        <v>50</v>
      </c>
      <c r="B207" s="1" t="s">
        <v>32</v>
      </c>
      <c r="C207" s="1">
        <v>471000</v>
      </c>
      <c r="D207" s="1">
        <v>20.8</v>
      </c>
      <c r="E207" s="1">
        <v>0</v>
      </c>
      <c r="F207" s="1">
        <v>0</v>
      </c>
      <c r="G207" s="2">
        <f>78*10^5</f>
        <v>7800000</v>
      </c>
      <c r="H207" s="2">
        <f>56*10^5</f>
        <v>5600000</v>
      </c>
      <c r="I207" s="2">
        <f>135*10^3</f>
        <v>135000</v>
      </c>
      <c r="J207" s="2">
        <f>115*10^3</f>
        <v>115000</v>
      </c>
      <c r="K207" s="1">
        <f t="shared" si="10"/>
        <v>1.7307692307692308</v>
      </c>
      <c r="L207" s="1">
        <f>J207/H207*100</f>
        <v>2.0535714285714284</v>
      </c>
      <c r="M207" s="5">
        <v>129572.46976666601</v>
      </c>
      <c r="N207" s="1">
        <f>G207*10^4*M207/C207</f>
        <v>21457861235.244049</v>
      </c>
      <c r="O207" s="1">
        <f>H207*10^4*M207/C207</f>
        <v>15405643963.764959</v>
      </c>
      <c r="P207" s="1">
        <f>I207*10000*M207/C207</f>
        <v>371386059.84076244</v>
      </c>
      <c r="Q207" s="1">
        <f>J207*10000*M207/C207</f>
        <v>316365902.82731616</v>
      </c>
    </row>
    <row r="208" spans="1:17" x14ac:dyDescent="0.2">
      <c r="A208" s="1" t="s">
        <v>50</v>
      </c>
      <c r="B208" s="1" t="s">
        <v>7</v>
      </c>
      <c r="C208" s="1">
        <v>64000</v>
      </c>
      <c r="D208" s="1">
        <v>20.6</v>
      </c>
      <c r="E208" s="1">
        <v>0</v>
      </c>
      <c r="F208" s="1">
        <v>0</v>
      </c>
      <c r="G208" s="2">
        <f>115*10^5</f>
        <v>11500000</v>
      </c>
      <c r="H208" s="2">
        <f>103*10^5</f>
        <v>10300000</v>
      </c>
      <c r="I208" s="2">
        <f>185*10^3</f>
        <v>185000</v>
      </c>
      <c r="J208" s="2">
        <f>165*10^3</f>
        <v>165000</v>
      </c>
      <c r="K208" s="1">
        <f t="shared" si="10"/>
        <v>1.6086956521739131</v>
      </c>
      <c r="L208" s="1">
        <f>J208/H208*100</f>
        <v>1.6019417475728155</v>
      </c>
      <c r="M208" s="5">
        <v>13991</v>
      </c>
      <c r="N208" s="1">
        <f>G208*10^4*M208/C208</f>
        <v>25140078125</v>
      </c>
      <c r="O208" s="1">
        <f>H208*10^4*M208/C208</f>
        <v>22516765625</v>
      </c>
      <c r="P208" s="1">
        <f>I208*10000*M208/C208</f>
        <v>404427343.75</v>
      </c>
      <c r="Q208" s="1">
        <f>J208*10000*M208/C208</f>
        <v>360705468.75</v>
      </c>
    </row>
    <row r="209" spans="1:17" x14ac:dyDescent="0.2">
      <c r="A209" s="1" t="s">
        <v>50</v>
      </c>
      <c r="B209" s="1" t="s">
        <v>9</v>
      </c>
      <c r="C209" s="1">
        <v>55000</v>
      </c>
      <c r="D209" s="1">
        <v>21.7</v>
      </c>
      <c r="E209" s="1">
        <v>0</v>
      </c>
      <c r="F209" s="1">
        <v>0</v>
      </c>
      <c r="G209" s="2">
        <f>69*10^5</f>
        <v>6900000</v>
      </c>
      <c r="H209" s="2">
        <f>62*10^5</f>
        <v>6200000</v>
      </c>
      <c r="I209" s="2">
        <f>99*10^3</f>
        <v>99000</v>
      </c>
      <c r="J209" s="2">
        <f>98*10^3</f>
        <v>98000</v>
      </c>
      <c r="K209" s="1">
        <f t="shared" si="10"/>
        <v>1.4347826086956521</v>
      </c>
      <c r="L209" s="1">
        <f>J209/H209*100</f>
        <v>1.5806451612903227</v>
      </c>
      <c r="M209" s="5">
        <v>11662</v>
      </c>
      <c r="N209" s="1">
        <f>G209*10^4*M209/C209</f>
        <v>14630509090.90909</v>
      </c>
      <c r="O209" s="1">
        <f>H209*10^4*M209/C209</f>
        <v>13146254545.454546</v>
      </c>
      <c r="P209" s="1">
        <f>I209*10000*M209/C209</f>
        <v>209916000</v>
      </c>
      <c r="Q209" s="1">
        <f>J209*10000*M209/C209</f>
        <v>207795636.36363637</v>
      </c>
    </row>
    <row r="210" spans="1:17" x14ac:dyDescent="0.2">
      <c r="A210" s="1" t="s">
        <v>50</v>
      </c>
      <c r="B210" s="1" t="s">
        <v>10</v>
      </c>
      <c r="C210" s="1">
        <v>454000</v>
      </c>
      <c r="D210" s="1">
        <v>24.4</v>
      </c>
      <c r="E210" s="1">
        <v>0</v>
      </c>
      <c r="F210" s="1">
        <v>0</v>
      </c>
      <c r="G210" s="2">
        <f>74*10^5</f>
        <v>7400000</v>
      </c>
      <c r="H210" s="2">
        <f>61*10^5</f>
        <v>6100000</v>
      </c>
      <c r="I210" s="2">
        <f>154*10^3</f>
        <v>154000</v>
      </c>
      <c r="J210" s="2">
        <f>129*10^3</f>
        <v>129000</v>
      </c>
      <c r="K210" s="1">
        <f t="shared" si="10"/>
        <v>2.0810810810810811</v>
      </c>
      <c r="L210" s="1">
        <f>J210/H210*100</f>
        <v>2.1147540983606556</v>
      </c>
      <c r="M210" s="5">
        <v>97899</v>
      </c>
      <c r="N210" s="1">
        <f>G210*10^4*M210/C210</f>
        <v>15957105726.872246</v>
      </c>
      <c r="O210" s="1">
        <f>H210*10^4*M210/C210</f>
        <v>13153830396.475771</v>
      </c>
      <c r="P210" s="1">
        <f>I210*10000*M210/C210</f>
        <v>332080308.37004405</v>
      </c>
      <c r="Q210" s="1">
        <f>J210*10000*M210/C210</f>
        <v>278171167.40088105</v>
      </c>
    </row>
    <row r="211" spans="1:17" x14ac:dyDescent="0.2">
      <c r="A211" s="1" t="s">
        <v>50</v>
      </c>
      <c r="B211" s="1" t="s">
        <v>11</v>
      </c>
      <c r="C211" s="1">
        <v>62000</v>
      </c>
      <c r="D211" s="1">
        <v>21.7</v>
      </c>
      <c r="E211" s="1">
        <v>0</v>
      </c>
      <c r="F211" s="1">
        <v>0</v>
      </c>
      <c r="G211" s="2">
        <f>67*10^5</f>
        <v>6700000</v>
      </c>
      <c r="H211" s="2">
        <f>57*10^5</f>
        <v>5700000</v>
      </c>
      <c r="I211" s="2">
        <f>131*10^3</f>
        <v>131000</v>
      </c>
      <c r="J211" s="2">
        <f>100*10^3</f>
        <v>100000</v>
      </c>
      <c r="K211" s="1">
        <f t="shared" si="10"/>
        <v>1.9552238805970148</v>
      </c>
      <c r="L211" s="1">
        <f>J211/H211*100</f>
        <v>1.7543859649122806</v>
      </c>
      <c r="M211" s="5">
        <v>13357</v>
      </c>
      <c r="N211" s="1">
        <f>G211*10^4*M211/C211</f>
        <v>14434177419.354839</v>
      </c>
      <c r="O211" s="1">
        <f>H211*10^4*M211/C211</f>
        <v>12279822580.645161</v>
      </c>
      <c r="P211" s="1">
        <f>I211*10000*M211/C211</f>
        <v>282220483.87096775</v>
      </c>
      <c r="Q211" s="1">
        <f>J211*10000*M211/C211</f>
        <v>215435483.87096775</v>
      </c>
    </row>
    <row r="212" spans="1:17" ht="16" x14ac:dyDescent="0.25">
      <c r="A212" s="1" t="s">
        <v>51</v>
      </c>
      <c r="B212" s="1" t="s">
        <v>12</v>
      </c>
      <c r="C212" s="1">
        <v>124000</v>
      </c>
      <c r="D212" s="1">
        <v>23.3</v>
      </c>
      <c r="E212" s="1">
        <v>12.7</v>
      </c>
      <c r="F212" s="1">
        <v>12.7</v>
      </c>
      <c r="G212" s="2">
        <f>25*10^5</f>
        <v>2500000</v>
      </c>
      <c r="H212" s="2">
        <f>15*10^5</f>
        <v>1500000</v>
      </c>
      <c r="I212" s="2">
        <f>30*10^3</f>
        <v>30000</v>
      </c>
      <c r="J212" s="2">
        <f>30*10^3</f>
        <v>30000</v>
      </c>
      <c r="K212" s="1">
        <f t="shared" si="10"/>
        <v>1.2</v>
      </c>
      <c r="L212" s="1">
        <f>J212/H212*100</f>
        <v>2</v>
      </c>
      <c r="M212" s="6">
        <v>57194</v>
      </c>
      <c r="N212" s="1">
        <f>G212*10^4*M212/C212</f>
        <v>11531048387.096775</v>
      </c>
      <c r="O212" s="1">
        <f>H212*10^4*M212/C212</f>
        <v>6918629032.2580643</v>
      </c>
      <c r="P212" s="1">
        <f>I212*10000*M212/C212</f>
        <v>138372580.6451613</v>
      </c>
      <c r="Q212" s="1">
        <f>J212*10000*M212/C212</f>
        <v>138372580.6451613</v>
      </c>
    </row>
    <row r="213" spans="1:17" x14ac:dyDescent="0.2">
      <c r="A213" s="1" t="s">
        <v>51</v>
      </c>
      <c r="B213" s="1" t="s">
        <v>32</v>
      </c>
      <c r="C213" s="1">
        <v>471000</v>
      </c>
      <c r="D213" s="1">
        <v>21.1</v>
      </c>
      <c r="E213" s="1">
        <v>0.6</v>
      </c>
      <c r="F213" s="1">
        <v>0</v>
      </c>
      <c r="G213" s="2">
        <f>87*10^5</f>
        <v>8700000</v>
      </c>
      <c r="H213" s="2">
        <f>82*10^5</f>
        <v>8200000</v>
      </c>
      <c r="I213" s="2">
        <f>209*10^3</f>
        <v>209000</v>
      </c>
      <c r="J213" s="2">
        <f>159*10^3</f>
        <v>159000</v>
      </c>
      <c r="K213" s="1">
        <f t="shared" si="10"/>
        <v>2.4022988505747125</v>
      </c>
      <c r="L213" s="1">
        <f>J213/H213*100</f>
        <v>1.9390243902439024</v>
      </c>
      <c r="M213" s="5">
        <v>126281.902733333</v>
      </c>
      <c r="N213" s="1">
        <f>G213*10^4*M213/C213</f>
        <v>23325956555.838581</v>
      </c>
      <c r="O213" s="1">
        <f>H213*10^4*M213/C213</f>
        <v>21985384339.985786</v>
      </c>
      <c r="P213" s="1">
        <f>I213*10000*M213/C213</f>
        <v>560359186.22646701</v>
      </c>
      <c r="Q213" s="1">
        <f>J213*10000*M213/C213</f>
        <v>426301964.64118785</v>
      </c>
    </row>
    <row r="214" spans="1:17" x14ac:dyDescent="0.2">
      <c r="A214" s="1" t="s">
        <v>51</v>
      </c>
      <c r="B214" s="1" t="s">
        <v>7</v>
      </c>
      <c r="C214" s="1">
        <v>64000</v>
      </c>
      <c r="D214" s="1">
        <v>20.399999999999999</v>
      </c>
      <c r="E214" s="1">
        <v>13.1</v>
      </c>
      <c r="F214" s="1">
        <v>0</v>
      </c>
      <c r="G214" s="2">
        <f>104*10^5</f>
        <v>10400000</v>
      </c>
      <c r="H214" s="2">
        <f>81*10^5</f>
        <v>8100000</v>
      </c>
      <c r="I214" s="2">
        <f>216*10^3</f>
        <v>216000</v>
      </c>
      <c r="J214" s="2">
        <f>185*10^3</f>
        <v>185000</v>
      </c>
      <c r="K214" s="1">
        <f t="shared" si="10"/>
        <v>2.0769230769230771</v>
      </c>
      <c r="L214" s="1">
        <f>J214/H214*100</f>
        <v>2.2839506172839505</v>
      </c>
      <c r="M214" s="5">
        <v>19680</v>
      </c>
      <c r="N214" s="1">
        <f>G214*10^4*M214/C214</f>
        <v>31980000000</v>
      </c>
      <c r="O214" s="1">
        <f>H214*10^4*M214/C214</f>
        <v>24907500000</v>
      </c>
      <c r="P214" s="1">
        <f>I214*10000*M214/C214</f>
        <v>664200000</v>
      </c>
      <c r="Q214" s="1">
        <f>J214*10000*M214/C214</f>
        <v>568875000</v>
      </c>
    </row>
    <row r="215" spans="1:17" x14ac:dyDescent="0.2">
      <c r="A215" s="1" t="s">
        <v>51</v>
      </c>
      <c r="B215" s="1" t="s">
        <v>9</v>
      </c>
      <c r="C215" s="1">
        <v>55000</v>
      </c>
      <c r="D215" s="1">
        <v>21</v>
      </c>
      <c r="E215" s="1">
        <v>7.5</v>
      </c>
      <c r="F215" s="1">
        <v>0</v>
      </c>
      <c r="G215" s="2">
        <f>68*10^5</f>
        <v>6800000</v>
      </c>
      <c r="H215" s="2">
        <f>60*10^5</f>
        <v>6000000</v>
      </c>
      <c r="I215" s="2">
        <f>118*10^3</f>
        <v>118000</v>
      </c>
      <c r="J215" s="2">
        <f>115*10^3</f>
        <v>115000</v>
      </c>
      <c r="K215" s="1">
        <f t="shared" si="10"/>
        <v>1.7352941176470589</v>
      </c>
      <c r="L215" s="1">
        <f>J215/H215*100</f>
        <v>1.9166666666666665</v>
      </c>
      <c r="M215" s="5">
        <v>13256</v>
      </c>
      <c r="N215" s="1">
        <f>G215*10^4*M215/C215</f>
        <v>16389236363.636364</v>
      </c>
      <c r="O215" s="1">
        <f>H215*10^4*M215/C215</f>
        <v>14461090909.09091</v>
      </c>
      <c r="P215" s="1">
        <f>I215*10000*M215/C215</f>
        <v>284401454.54545456</v>
      </c>
      <c r="Q215" s="1">
        <f>J215*10000*M215/C215</f>
        <v>277170909.09090906</v>
      </c>
    </row>
    <row r="216" spans="1:17" x14ac:dyDescent="0.2">
      <c r="A216" s="1" t="s">
        <v>51</v>
      </c>
      <c r="B216" s="1" t="s">
        <v>10</v>
      </c>
      <c r="C216" s="1">
        <v>454000</v>
      </c>
      <c r="D216" s="1">
        <v>23</v>
      </c>
      <c r="E216" s="1">
        <v>5.2</v>
      </c>
      <c r="F216" s="1">
        <v>2.2000000000000002</v>
      </c>
      <c r="G216" s="2">
        <f>94*10^5</f>
        <v>9400000</v>
      </c>
      <c r="H216" s="2">
        <f>68*10^5</f>
        <v>6800000</v>
      </c>
      <c r="I216" s="2">
        <f>210*10^3</f>
        <v>210000</v>
      </c>
      <c r="J216" s="2">
        <f>174*10^3</f>
        <v>174000</v>
      </c>
      <c r="K216" s="1">
        <f t="shared" si="10"/>
        <v>2.2340425531914896</v>
      </c>
      <c r="L216" s="1">
        <f>J216/H216*100</f>
        <v>2.5588235294117649</v>
      </c>
      <c r="M216" s="5">
        <v>110037</v>
      </c>
      <c r="N216" s="1">
        <f>G216*10^4*M216/C216</f>
        <v>22782991189.427311</v>
      </c>
      <c r="O216" s="1">
        <f>H216*10^4*M216/C216</f>
        <v>16481312775.330397</v>
      </c>
      <c r="P216" s="1">
        <f>I216*10000*M216/C216</f>
        <v>508981718.061674</v>
      </c>
      <c r="Q216" s="1">
        <f>J216*10000*M216/C216</f>
        <v>421727709.25110132</v>
      </c>
    </row>
    <row r="217" spans="1:17" x14ac:dyDescent="0.2">
      <c r="A217" s="1" t="s">
        <v>51</v>
      </c>
      <c r="B217" s="1" t="s">
        <v>11</v>
      </c>
      <c r="C217" s="1">
        <v>62000</v>
      </c>
      <c r="D217" s="1">
        <v>21</v>
      </c>
      <c r="E217" s="1">
        <v>2</v>
      </c>
      <c r="F217" s="1">
        <v>0</v>
      </c>
      <c r="G217" s="2">
        <f>69*10^5</f>
        <v>6900000</v>
      </c>
      <c r="H217" s="2">
        <f>60*10^5</f>
        <v>6000000</v>
      </c>
      <c r="I217" s="2">
        <f>154*10^3</f>
        <v>154000</v>
      </c>
      <c r="J217" s="2">
        <f>147*10^3</f>
        <v>147000</v>
      </c>
      <c r="K217" s="1">
        <f t="shared" si="10"/>
        <v>2.2318840579710142</v>
      </c>
      <c r="L217" s="1">
        <f>J217/H217*100</f>
        <v>2.4500000000000002</v>
      </c>
      <c r="M217" s="5">
        <v>13358</v>
      </c>
      <c r="N217" s="1">
        <f>G217*10^4*M217/C217</f>
        <v>14866161290.32258</v>
      </c>
      <c r="O217" s="1">
        <f>H217*10^4*M217/C217</f>
        <v>12927096774.193548</v>
      </c>
      <c r="P217" s="1">
        <f>I217*10000*M217/C217</f>
        <v>331795483.87096775</v>
      </c>
      <c r="Q217" s="1">
        <f>J217*10000*M217/C217</f>
        <v>316713870.96774191</v>
      </c>
    </row>
    <row r="218" spans="1:17" ht="16" x14ac:dyDescent="0.25">
      <c r="A218" s="1" t="s">
        <v>52</v>
      </c>
      <c r="B218" s="1" t="s">
        <v>12</v>
      </c>
      <c r="C218" s="1">
        <v>124000</v>
      </c>
      <c r="D218" s="1">
        <v>23.9</v>
      </c>
      <c r="E218" s="1">
        <v>0</v>
      </c>
      <c r="F218" s="1">
        <v>0</v>
      </c>
      <c r="G218" s="2">
        <f>65*10^5</f>
        <v>6500000</v>
      </c>
      <c r="H218" s="2">
        <f>64*10^5</f>
        <v>6400000</v>
      </c>
      <c r="I218" s="2">
        <f>99*10^3</f>
        <v>99000</v>
      </c>
      <c r="J218" s="2">
        <f>94*10^3</f>
        <v>94000</v>
      </c>
      <c r="K218" s="1">
        <f t="shared" si="10"/>
        <v>1.523076923076923</v>
      </c>
      <c r="L218" s="1">
        <f>J218/H218*100</f>
        <v>1.46875</v>
      </c>
      <c r="M218" s="6">
        <v>33174</v>
      </c>
      <c r="N218" s="1">
        <f>G218*10^4*M218/C218</f>
        <v>17389596774.19355</v>
      </c>
      <c r="O218" s="1">
        <f>H218*10^4*M218/C218</f>
        <v>17122064516.129032</v>
      </c>
      <c r="P218" s="1">
        <f>I218*10000*M218/C218</f>
        <v>264856935.48387095</v>
      </c>
      <c r="Q218" s="1">
        <f>J218*10000*M218/C218</f>
        <v>251480322.58064517</v>
      </c>
    </row>
    <row r="219" spans="1:17" x14ac:dyDescent="0.2">
      <c r="A219" s="1" t="s">
        <v>52</v>
      </c>
      <c r="B219" s="1" t="s">
        <v>32</v>
      </c>
      <c r="C219" s="1">
        <v>471000</v>
      </c>
      <c r="D219" s="1">
        <v>19.3</v>
      </c>
      <c r="E219" s="1">
        <v>4.3</v>
      </c>
      <c r="F219" s="1">
        <v>0</v>
      </c>
      <c r="G219" s="2">
        <f>91*10^5</f>
        <v>9100000</v>
      </c>
      <c r="H219" s="2" t="s">
        <v>8</v>
      </c>
      <c r="I219" s="2">
        <f>126*10^3</f>
        <v>126000</v>
      </c>
      <c r="J219" s="2">
        <f>108*10^3</f>
        <v>108000</v>
      </c>
      <c r="K219" s="1">
        <f t="shared" ref="K219:K254" si="11">I219/G219*100</f>
        <v>1.3846153846153846</v>
      </c>
      <c r="L219" s="1" t="s">
        <v>8</v>
      </c>
      <c r="M219" s="5">
        <v>144058.34864999901</v>
      </c>
      <c r="N219" s="1">
        <f>G219*10^4*M219/C219</f>
        <v>27832929357.00618</v>
      </c>
      <c r="O219" s="1" t="s">
        <v>8</v>
      </c>
      <c r="P219" s="1">
        <f>I219*10000*M219/C219</f>
        <v>385379021.86623937</v>
      </c>
      <c r="Q219" s="1">
        <f>J219*10000*M219/C219</f>
        <v>330324875.88534808</v>
      </c>
    </row>
    <row r="220" spans="1:17" x14ac:dyDescent="0.2">
      <c r="A220" s="1" t="s">
        <v>52</v>
      </c>
      <c r="B220" s="1" t="s">
        <v>7</v>
      </c>
      <c r="C220" s="1">
        <v>64000</v>
      </c>
      <c r="D220" s="1">
        <v>18.600000000000001</v>
      </c>
      <c r="E220" s="1">
        <v>0.1</v>
      </c>
      <c r="F220" s="1">
        <v>0</v>
      </c>
      <c r="G220" s="2">
        <f>109*10^5</f>
        <v>10900000</v>
      </c>
      <c r="H220" s="2">
        <f>97*10^5</f>
        <v>9700000</v>
      </c>
      <c r="I220" s="2">
        <f>181*10^3</f>
        <v>181000</v>
      </c>
      <c r="J220" s="2">
        <f>165*10^3</f>
        <v>165000</v>
      </c>
      <c r="K220" s="1">
        <f t="shared" si="11"/>
        <v>1.6605504587155964</v>
      </c>
      <c r="L220" s="1">
        <f>J220/H220*100</f>
        <v>1.7010309278350515</v>
      </c>
      <c r="M220" s="5">
        <v>15942</v>
      </c>
      <c r="N220" s="1">
        <f>G220*10^4*M220/C220</f>
        <v>27151218750</v>
      </c>
      <c r="O220" s="1">
        <f>H220*10^4*M220/C220</f>
        <v>24162093750</v>
      </c>
      <c r="P220" s="1">
        <f>I220*10000*M220/C220</f>
        <v>450859687.5</v>
      </c>
      <c r="Q220" s="1">
        <f>J220*10000*M220/C220</f>
        <v>411004687.5</v>
      </c>
    </row>
    <row r="221" spans="1:17" x14ac:dyDescent="0.2">
      <c r="A221" s="1" t="s">
        <v>52</v>
      </c>
      <c r="B221" s="1" t="s">
        <v>9</v>
      </c>
      <c r="C221" s="1">
        <v>55000</v>
      </c>
      <c r="D221" s="1">
        <v>19.5</v>
      </c>
      <c r="E221" s="1">
        <v>0.2</v>
      </c>
      <c r="F221" s="1">
        <v>0</v>
      </c>
      <c r="G221" s="2">
        <f>82*10^5</f>
        <v>8200000</v>
      </c>
      <c r="H221" s="2" t="s">
        <v>8</v>
      </c>
      <c r="I221" s="2">
        <f>190*10^3</f>
        <v>190000</v>
      </c>
      <c r="J221" s="2">
        <f>115*10^3</f>
        <v>115000</v>
      </c>
      <c r="K221" s="1">
        <f t="shared" si="11"/>
        <v>2.3170731707317072</v>
      </c>
      <c r="L221" s="1" t="s">
        <v>8</v>
      </c>
      <c r="M221" s="5">
        <v>12768</v>
      </c>
      <c r="N221" s="1">
        <f>G221*10^4*M221/C221</f>
        <v>19035927272.727272</v>
      </c>
      <c r="O221" s="1" t="s">
        <v>8</v>
      </c>
      <c r="P221" s="1">
        <f>I221*10000*M221/C221</f>
        <v>441076363.63636363</v>
      </c>
      <c r="Q221" s="1">
        <f>J221*10000*M221/C221</f>
        <v>266967272.72727272</v>
      </c>
    </row>
    <row r="222" spans="1:17" x14ac:dyDescent="0.2">
      <c r="A222" s="1" t="s">
        <v>52</v>
      </c>
      <c r="B222" s="1" t="s">
        <v>10</v>
      </c>
      <c r="C222" s="1">
        <v>454000</v>
      </c>
      <c r="D222" s="1">
        <v>21.7</v>
      </c>
      <c r="E222" s="1">
        <v>3.5</v>
      </c>
      <c r="F222" s="1">
        <v>0</v>
      </c>
      <c r="G222" s="2">
        <f>71*10^5</f>
        <v>7100000</v>
      </c>
      <c r="H222" s="2">
        <f>67*10^5</f>
        <v>6700000</v>
      </c>
      <c r="I222" s="2">
        <f>152*10^3</f>
        <v>152000</v>
      </c>
      <c r="J222" s="2">
        <f>151*10^3</f>
        <v>151000</v>
      </c>
      <c r="K222" s="1">
        <f t="shared" si="11"/>
        <v>2.140845070422535</v>
      </c>
      <c r="L222" s="1">
        <f>J222/H222*100</f>
        <v>2.2537313432835822</v>
      </c>
      <c r="M222" s="5">
        <v>120111</v>
      </c>
      <c r="N222" s="1">
        <f>G222*10^4*M222/C222</f>
        <v>18783878854.625549</v>
      </c>
      <c r="O222" s="1">
        <f>H222*10^4*M222/C222</f>
        <v>17725632158.590309</v>
      </c>
      <c r="P222" s="1">
        <f>I222*10000*M222/C222</f>
        <v>402133744.49339205</v>
      </c>
      <c r="Q222" s="1">
        <f>J222*10000*M222/C222</f>
        <v>399488127.75330395</v>
      </c>
    </row>
    <row r="223" spans="1:17" x14ac:dyDescent="0.2">
      <c r="A223" s="1" t="s">
        <v>52</v>
      </c>
      <c r="B223" s="1" t="s">
        <v>11</v>
      </c>
      <c r="C223" s="1">
        <v>62000</v>
      </c>
      <c r="D223" s="1">
        <v>19.3</v>
      </c>
      <c r="E223" s="1">
        <v>2.2999999999999998</v>
      </c>
      <c r="F223" s="1">
        <v>0</v>
      </c>
      <c r="G223" s="2">
        <f>102*10^5</f>
        <v>10200000</v>
      </c>
      <c r="H223" s="2">
        <f>101*10^5</f>
        <v>10100000</v>
      </c>
      <c r="I223" s="2">
        <f>182*10^3</f>
        <v>182000</v>
      </c>
      <c r="J223" s="2">
        <f>161*10^3</f>
        <v>161000</v>
      </c>
      <c r="K223" s="1">
        <f t="shared" si="11"/>
        <v>1.784313725490196</v>
      </c>
      <c r="L223" s="1">
        <f>J223/H223*100</f>
        <v>1.5940594059405941</v>
      </c>
      <c r="M223" s="5">
        <v>13643</v>
      </c>
      <c r="N223" s="1">
        <f>G223*10^4*M223/C223</f>
        <v>22444935483.870968</v>
      </c>
      <c r="O223" s="1">
        <f>H223*10^4*M223/C223</f>
        <v>22224887096.774193</v>
      </c>
      <c r="P223" s="1">
        <f>I223*10000*M223/C223</f>
        <v>400488064.51612902</v>
      </c>
      <c r="Q223" s="1">
        <f>J223*10000*M223/C223</f>
        <v>354277903.22580647</v>
      </c>
    </row>
    <row r="224" spans="1:17" ht="16" x14ac:dyDescent="0.25">
      <c r="A224" s="1" t="s">
        <v>53</v>
      </c>
      <c r="B224" s="1" t="s">
        <v>12</v>
      </c>
      <c r="C224" s="1">
        <v>124000</v>
      </c>
      <c r="D224" s="1">
        <v>23.1</v>
      </c>
      <c r="E224" s="1">
        <v>10</v>
      </c>
      <c r="F224" s="1">
        <v>0</v>
      </c>
      <c r="G224" s="2">
        <f>54*10^5</f>
        <v>5400000</v>
      </c>
      <c r="H224" s="2">
        <f>36*10^5</f>
        <v>3600000</v>
      </c>
      <c r="I224" s="2">
        <f>106*10^3</f>
        <v>106000</v>
      </c>
      <c r="J224" s="2">
        <f>86*10^3</f>
        <v>86000</v>
      </c>
      <c r="K224" s="1">
        <f t="shared" si="11"/>
        <v>1.9629629629629628</v>
      </c>
      <c r="L224" s="1">
        <f>J224/H224*100</f>
        <v>2.3888888888888888</v>
      </c>
      <c r="M224" s="6">
        <v>34773</v>
      </c>
      <c r="N224" s="1">
        <f>G224*10^4*M224/C224</f>
        <v>15143080645.161291</v>
      </c>
      <c r="O224" s="1">
        <f>H224*10^4*M224/C224</f>
        <v>10095387096.774193</v>
      </c>
      <c r="P224" s="1">
        <f>I224*10000*M224/C224</f>
        <v>297253064.51612902</v>
      </c>
      <c r="Q224" s="1">
        <f>J224*10000*M224/C224</f>
        <v>241167580.6451613</v>
      </c>
    </row>
    <row r="225" spans="1:17" ht="16" x14ac:dyDescent="0.25">
      <c r="A225" s="1" t="s">
        <v>53</v>
      </c>
      <c r="B225" s="1" t="s">
        <v>32</v>
      </c>
      <c r="C225" s="1">
        <v>471000</v>
      </c>
      <c r="D225" s="1">
        <v>20.3</v>
      </c>
      <c r="E225" s="1">
        <v>1.7</v>
      </c>
      <c r="F225" s="1">
        <v>1.7</v>
      </c>
      <c r="G225" s="2">
        <f>85*10^5</f>
        <v>8500000</v>
      </c>
      <c r="H225" s="2">
        <f>70*10^5</f>
        <v>7000000</v>
      </c>
      <c r="I225" s="2">
        <f>166*10^3</f>
        <v>166000</v>
      </c>
      <c r="J225" s="2">
        <f>147*10^3</f>
        <v>147000</v>
      </c>
      <c r="K225" s="1">
        <f t="shared" si="11"/>
        <v>1.9529411764705882</v>
      </c>
      <c r="L225" s="1">
        <f>J225/H225*100</f>
        <v>2.1</v>
      </c>
      <c r="M225" s="6">
        <v>146404.192066666</v>
      </c>
      <c r="N225" s="1">
        <f>G225*10^4*M225/C225</f>
        <v>26421138695.682823</v>
      </c>
      <c r="O225" s="1">
        <f>H225*10^4*M225/C225</f>
        <v>21758584808.209385</v>
      </c>
      <c r="P225" s="1">
        <f>I225*10000*M225/C225</f>
        <v>515989296.88039398</v>
      </c>
      <c r="Q225" s="1">
        <f>J225*10000*M225/C225</f>
        <v>456930280.97239709</v>
      </c>
    </row>
    <row r="226" spans="1:17" x14ac:dyDescent="0.2">
      <c r="A226" s="1" t="s">
        <v>53</v>
      </c>
      <c r="B226" s="1" t="s">
        <v>7</v>
      </c>
      <c r="C226" s="1">
        <v>64000</v>
      </c>
      <c r="D226" s="1">
        <v>20.8</v>
      </c>
      <c r="E226" s="1">
        <v>4.5999999999999996</v>
      </c>
      <c r="F226" s="1">
        <v>3.9</v>
      </c>
      <c r="G226" s="2">
        <f>111*10^5</f>
        <v>11100000</v>
      </c>
      <c r="H226" s="2">
        <f>83*10^5</f>
        <v>8300000</v>
      </c>
      <c r="I226" s="2">
        <f>249*10^3</f>
        <v>249000</v>
      </c>
      <c r="J226" s="2">
        <f>245*10^3</f>
        <v>245000</v>
      </c>
      <c r="K226" s="1">
        <f t="shared" si="11"/>
        <v>2.2432432432432434</v>
      </c>
      <c r="L226" s="1">
        <f>J226/H226*100</f>
        <v>2.9518072289156625</v>
      </c>
      <c r="M226" s="5">
        <v>15573</v>
      </c>
      <c r="N226" s="1">
        <f>G226*10^4*M226/C226</f>
        <v>27009421875</v>
      </c>
      <c r="O226" s="1">
        <f>H226*10^4*M226/C226</f>
        <v>20196234375</v>
      </c>
      <c r="P226" s="1">
        <f>I226*10000*M226/C226</f>
        <v>605887031.25</v>
      </c>
      <c r="Q226" s="1">
        <f>J226*10000*M226/C226</f>
        <v>596153906.25</v>
      </c>
    </row>
    <row r="227" spans="1:17" x14ac:dyDescent="0.2">
      <c r="A227" s="1" t="s">
        <v>53</v>
      </c>
      <c r="B227" s="1" t="s">
        <v>9</v>
      </c>
      <c r="C227" s="1">
        <v>55000</v>
      </c>
      <c r="D227" s="1">
        <v>21.5</v>
      </c>
      <c r="E227" s="1">
        <v>1.7</v>
      </c>
      <c r="F227" s="1">
        <v>0.2</v>
      </c>
      <c r="G227" s="2">
        <f>71*10^5</f>
        <v>7100000</v>
      </c>
      <c r="H227" s="2">
        <f>68*10^5</f>
        <v>6800000</v>
      </c>
      <c r="I227" s="2">
        <f>130*10^3</f>
        <v>130000</v>
      </c>
      <c r="J227" s="2">
        <f>130*10^3</f>
        <v>130000</v>
      </c>
      <c r="K227" s="1">
        <f t="shared" si="11"/>
        <v>1.8309859154929577</v>
      </c>
      <c r="L227" s="1">
        <f>J227/H227*100</f>
        <v>1.911764705882353</v>
      </c>
      <c r="M227" s="5">
        <v>11214</v>
      </c>
      <c r="N227" s="1">
        <f>G227*10^4*M227/C227</f>
        <v>14476254545.454546</v>
      </c>
      <c r="O227" s="1">
        <f>H227*10^4*M227/C227</f>
        <v>13864581818.181818</v>
      </c>
      <c r="P227" s="1">
        <f>I227*10000*M227/C227</f>
        <v>265058181.81818181</v>
      </c>
      <c r="Q227" s="1">
        <f>J227*10000*M227/C227</f>
        <v>265058181.81818181</v>
      </c>
    </row>
    <row r="228" spans="1:17" ht="16" x14ac:dyDescent="0.25">
      <c r="A228" s="1" t="s">
        <v>53</v>
      </c>
      <c r="B228" s="1" t="s">
        <v>10</v>
      </c>
      <c r="C228" s="1">
        <v>454000</v>
      </c>
      <c r="D228" s="1">
        <v>20.100000000000001</v>
      </c>
      <c r="E228" s="1">
        <v>2.6</v>
      </c>
      <c r="F228" s="1">
        <v>2.6</v>
      </c>
      <c r="G228" s="2">
        <f>65*10^5</f>
        <v>6500000</v>
      </c>
      <c r="H228" s="2">
        <f>60*10^5</f>
        <v>6000000</v>
      </c>
      <c r="I228" s="2">
        <f>133*10^3</f>
        <v>133000</v>
      </c>
      <c r="J228" s="2">
        <f>127*10^3</f>
        <v>127000</v>
      </c>
      <c r="K228" s="1">
        <f t="shared" si="11"/>
        <v>2.046153846153846</v>
      </c>
      <c r="L228" s="1">
        <f>J228/H228*100</f>
        <v>2.1166666666666667</v>
      </c>
      <c r="M228" s="6">
        <v>112366</v>
      </c>
      <c r="N228" s="1">
        <f>G228*10^4*M228/C228</f>
        <v>16087643171.806168</v>
      </c>
      <c r="O228" s="1">
        <f>H228*10^4*M228/C228</f>
        <v>14850132158.590309</v>
      </c>
      <c r="P228" s="1">
        <f>I228*10000*M228/C228</f>
        <v>329177929.51541853</v>
      </c>
      <c r="Q228" s="1">
        <f>J228*10000*M228/C228</f>
        <v>314327797.35682821</v>
      </c>
    </row>
    <row r="229" spans="1:17" x14ac:dyDescent="0.2">
      <c r="A229" s="1" t="s">
        <v>53</v>
      </c>
      <c r="B229" s="1" t="s">
        <v>11</v>
      </c>
      <c r="C229" s="1">
        <v>62000</v>
      </c>
      <c r="D229" s="1">
        <v>19.7</v>
      </c>
      <c r="E229" s="1">
        <v>14.2</v>
      </c>
      <c r="F229" s="1">
        <v>11.1</v>
      </c>
      <c r="G229" s="2">
        <f>57*10^5</f>
        <v>5700000</v>
      </c>
      <c r="H229" s="2">
        <f>50*10^5</f>
        <v>5000000</v>
      </c>
      <c r="I229" s="2">
        <f>71*10^3</f>
        <v>71000</v>
      </c>
      <c r="J229" s="2">
        <f>67*10^3</f>
        <v>67000</v>
      </c>
      <c r="K229" s="1">
        <f t="shared" si="11"/>
        <v>1.2456140350877192</v>
      </c>
      <c r="L229" s="1">
        <f>J229/H229*100</f>
        <v>1.34</v>
      </c>
      <c r="M229" s="5">
        <v>28915</v>
      </c>
      <c r="N229" s="1">
        <f>G229*10^4*M229/C229</f>
        <v>26583145161.290321</v>
      </c>
      <c r="O229" s="1">
        <f>H229*10^4*M229/C229</f>
        <v>23318548387.096775</v>
      </c>
      <c r="P229" s="1">
        <f>I229*10000*M229/C229</f>
        <v>331123387.09677422</v>
      </c>
      <c r="Q229" s="1">
        <f>J229*10000*M229/C229</f>
        <v>312468548.38709676</v>
      </c>
    </row>
    <row r="230" spans="1:17" ht="16" x14ac:dyDescent="0.25">
      <c r="A230" s="1" t="s">
        <v>54</v>
      </c>
      <c r="B230" s="1" t="s">
        <v>12</v>
      </c>
      <c r="C230" s="1">
        <v>124000</v>
      </c>
      <c r="D230" s="1">
        <v>21.9</v>
      </c>
      <c r="E230" s="1">
        <v>22.6</v>
      </c>
      <c r="F230" s="1">
        <v>7.1</v>
      </c>
      <c r="G230" s="2">
        <f>24*10^5</f>
        <v>2400000</v>
      </c>
      <c r="H230" s="2">
        <f>18*10^5</f>
        <v>1800000</v>
      </c>
      <c r="I230" s="2">
        <f>45*10^3</f>
        <v>45000</v>
      </c>
      <c r="J230" s="2">
        <f>45*10^3</f>
        <v>45000</v>
      </c>
      <c r="K230" s="1">
        <f t="shared" si="11"/>
        <v>1.875</v>
      </c>
      <c r="L230" s="1">
        <f>J230/H230*100</f>
        <v>2.5</v>
      </c>
      <c r="M230" s="6">
        <v>53565</v>
      </c>
      <c r="N230" s="1">
        <f>G230*10^4*M230/C230</f>
        <v>10367419354.838709</v>
      </c>
      <c r="O230" s="1">
        <f>H230*10^4*M230/C230</f>
        <v>7775564516.1290321</v>
      </c>
      <c r="P230" s="1">
        <f>I230*10000*M230/C230</f>
        <v>194389112.90322581</v>
      </c>
      <c r="Q230" s="1">
        <f>J230*10000*M230/C230</f>
        <v>194389112.90322581</v>
      </c>
    </row>
    <row r="231" spans="1:17" ht="16" x14ac:dyDescent="0.25">
      <c r="A231" s="1" t="s">
        <v>54</v>
      </c>
      <c r="B231" s="1" t="s">
        <v>32</v>
      </c>
      <c r="C231" s="1">
        <v>471000</v>
      </c>
      <c r="D231" s="1">
        <v>18.2</v>
      </c>
      <c r="E231" s="1">
        <v>4.9000000000000004</v>
      </c>
      <c r="F231" s="1">
        <v>3.9</v>
      </c>
      <c r="G231" s="2">
        <f>81*10^5</f>
        <v>8100000</v>
      </c>
      <c r="H231" s="2">
        <f>72*10^5</f>
        <v>7200000</v>
      </c>
      <c r="I231" s="2">
        <f>156*10^3</f>
        <v>156000</v>
      </c>
      <c r="J231" s="2">
        <f>146*10^3</f>
        <v>146000</v>
      </c>
      <c r="K231" s="1">
        <f t="shared" si="11"/>
        <v>1.925925925925926</v>
      </c>
      <c r="L231" s="1">
        <f>J231/H231*100</f>
        <v>2.0277777777777777</v>
      </c>
      <c r="M231" s="6">
        <v>159233.65195</v>
      </c>
      <c r="N231" s="1">
        <f>G231*10^4*M231/C231</f>
        <v>27384131227.070065</v>
      </c>
      <c r="O231" s="1">
        <f>H231*10^4*M231/C231</f>
        <v>24341449979.617836</v>
      </c>
      <c r="P231" s="1">
        <f>I231*10000*M231/C231</f>
        <v>527398082.89171976</v>
      </c>
      <c r="Q231" s="1">
        <f>J231*10000*M231/C231</f>
        <v>493590513.47558385</v>
      </c>
    </row>
    <row r="232" spans="1:17" ht="16" x14ac:dyDescent="0.25">
      <c r="A232" s="1" t="s">
        <v>54</v>
      </c>
      <c r="B232" s="1" t="s">
        <v>7</v>
      </c>
      <c r="C232" s="1">
        <v>64000</v>
      </c>
      <c r="D232" s="1">
        <v>20</v>
      </c>
      <c r="E232" s="1">
        <v>16.399999999999999</v>
      </c>
      <c r="F232" s="1">
        <v>0.8</v>
      </c>
      <c r="G232" s="2">
        <f>91*10^5</f>
        <v>9100000</v>
      </c>
      <c r="H232" s="2">
        <f>59*10^5</f>
        <v>5900000</v>
      </c>
      <c r="I232" s="2">
        <f>135*10^3</f>
        <v>135000</v>
      </c>
      <c r="J232" s="2">
        <f>116*10^3</f>
        <v>116000</v>
      </c>
      <c r="K232" s="1">
        <f t="shared" si="11"/>
        <v>1.4835164835164834</v>
      </c>
      <c r="L232" s="1">
        <f>J232/H232*100</f>
        <v>1.9661016949152541</v>
      </c>
      <c r="M232" s="6">
        <v>36154</v>
      </c>
      <c r="N232" s="1">
        <f>G232*10^4*M232/C232</f>
        <v>51406468750</v>
      </c>
      <c r="O232" s="1">
        <f>H232*10^4*M232/C232</f>
        <v>33329468750</v>
      </c>
      <c r="P232" s="1">
        <f>I232*10000*M232/C232</f>
        <v>762623437.5</v>
      </c>
      <c r="Q232" s="1">
        <f>J232*10000*M232/C232</f>
        <v>655291250</v>
      </c>
    </row>
    <row r="233" spans="1:17" ht="16" x14ac:dyDescent="0.25">
      <c r="A233" s="1" t="s">
        <v>54</v>
      </c>
      <c r="B233" s="1" t="s">
        <v>9</v>
      </c>
      <c r="C233" s="1">
        <v>55000</v>
      </c>
      <c r="D233" s="1">
        <v>19.399999999999999</v>
      </c>
      <c r="E233" s="1">
        <v>0.7</v>
      </c>
      <c r="F233" s="1">
        <v>0</v>
      </c>
      <c r="G233" s="2">
        <f>98*10^5</f>
        <v>9800000</v>
      </c>
      <c r="H233" s="2">
        <f>80*10^5</f>
        <v>8000000</v>
      </c>
      <c r="I233" s="2">
        <f>134*10^3</f>
        <v>134000</v>
      </c>
      <c r="J233" s="2">
        <f>133*10^3</f>
        <v>133000</v>
      </c>
      <c r="K233" s="1">
        <f t="shared" si="11"/>
        <v>1.3673469387755102</v>
      </c>
      <c r="L233" s="1">
        <f>J233/H233*100</f>
        <v>1.6625000000000001</v>
      </c>
      <c r="M233" s="6">
        <v>11221</v>
      </c>
      <c r="N233" s="1">
        <f>G233*10^4*M233/C233</f>
        <v>19993781818.18182</v>
      </c>
      <c r="O233" s="1">
        <f>H233*10^4*M233/C233</f>
        <v>16321454545.454546</v>
      </c>
      <c r="P233" s="1">
        <f>I233*10000*M233/C233</f>
        <v>273384363.63636363</v>
      </c>
      <c r="Q233" s="1">
        <f>J233*10000*M233/C233</f>
        <v>271344181.81818181</v>
      </c>
    </row>
    <row r="234" spans="1:17" ht="16" x14ac:dyDescent="0.25">
      <c r="A234" s="1" t="s">
        <v>54</v>
      </c>
      <c r="B234" s="1" t="s">
        <v>10</v>
      </c>
      <c r="C234" s="1">
        <v>454000</v>
      </c>
      <c r="D234" s="1">
        <v>21.1</v>
      </c>
      <c r="E234" s="1">
        <v>5.8</v>
      </c>
      <c r="F234" s="1">
        <v>0.3</v>
      </c>
      <c r="G234" s="2">
        <f>90*10^5</f>
        <v>9000000</v>
      </c>
      <c r="H234" s="2">
        <f>85*10^5</f>
        <v>8500000</v>
      </c>
      <c r="I234" s="2">
        <f>172*10^3</f>
        <v>172000</v>
      </c>
      <c r="J234" s="2">
        <f>163*10^3</f>
        <v>163000</v>
      </c>
      <c r="K234" s="1">
        <f t="shared" si="11"/>
        <v>1.911111111111111</v>
      </c>
      <c r="L234" s="1">
        <f>J234/H234*100</f>
        <v>1.9176470588235295</v>
      </c>
      <c r="M234" s="6">
        <v>120383</v>
      </c>
      <c r="N234" s="1">
        <f>G234*10^4*M234/C234</f>
        <v>23864471365.638767</v>
      </c>
      <c r="O234" s="1">
        <f>H234*10^4*M234/C234</f>
        <v>22538667400.881058</v>
      </c>
      <c r="P234" s="1">
        <f>I234*10000*M234/C234</f>
        <v>456076563.876652</v>
      </c>
      <c r="Q234" s="1">
        <f>J234*10000*M234/C234</f>
        <v>432212092.51101321</v>
      </c>
    </row>
    <row r="235" spans="1:17" ht="16" x14ac:dyDescent="0.25">
      <c r="A235" s="1" t="s">
        <v>54</v>
      </c>
      <c r="B235" s="1" t="s">
        <v>11</v>
      </c>
      <c r="C235" s="1">
        <v>62000</v>
      </c>
      <c r="D235" s="1">
        <v>18.3</v>
      </c>
      <c r="E235" s="1">
        <v>5.8</v>
      </c>
      <c r="F235" s="1">
        <v>0.9</v>
      </c>
      <c r="G235" s="2">
        <f>103*10^5</f>
        <v>10300000</v>
      </c>
      <c r="H235" s="2">
        <f>79*10^5</f>
        <v>7900000</v>
      </c>
      <c r="I235" s="2">
        <f>125*10^3</f>
        <v>125000</v>
      </c>
      <c r="J235" s="2">
        <f>118*10^3</f>
        <v>118000</v>
      </c>
      <c r="K235" s="1">
        <f t="shared" si="11"/>
        <v>1.2135922330097086</v>
      </c>
      <c r="L235" s="1">
        <f>J235/H235*100</f>
        <v>1.4936708860759493</v>
      </c>
      <c r="M235" s="6">
        <v>15817</v>
      </c>
      <c r="N235" s="1">
        <f>G235*10^4*M235/C235</f>
        <v>26276629032.258064</v>
      </c>
      <c r="O235" s="1">
        <f>H235*10^4*M235/C235</f>
        <v>20153919354.838711</v>
      </c>
      <c r="P235" s="1">
        <f>I235*10000*M235/C235</f>
        <v>318891129.03225809</v>
      </c>
      <c r="Q235" s="1">
        <f>J235*10000*M235/C235</f>
        <v>301033225.80645162</v>
      </c>
    </row>
    <row r="236" spans="1:17" ht="16" x14ac:dyDescent="0.25">
      <c r="A236" s="1" t="s">
        <v>55</v>
      </c>
      <c r="B236" s="1" t="s">
        <v>12</v>
      </c>
      <c r="C236" s="1">
        <v>124000</v>
      </c>
      <c r="D236" s="1">
        <v>20.7</v>
      </c>
      <c r="E236" s="1">
        <v>0</v>
      </c>
      <c r="F236" s="1">
        <v>0</v>
      </c>
      <c r="G236" s="2">
        <f>28*10^5</f>
        <v>2800000</v>
      </c>
      <c r="H236" s="2">
        <f>26*10^5</f>
        <v>2600000</v>
      </c>
      <c r="I236" s="2">
        <f>46*10^3</f>
        <v>46000</v>
      </c>
      <c r="J236" s="2" t="s">
        <v>8</v>
      </c>
      <c r="K236" s="1">
        <f t="shared" si="11"/>
        <v>1.6428571428571428</v>
      </c>
      <c r="L236" s="1" t="s">
        <v>8</v>
      </c>
      <c r="M236" s="6">
        <v>44226</v>
      </c>
      <c r="N236" s="1">
        <f>G236*10^4*M236/C236</f>
        <v>9986516129.032259</v>
      </c>
      <c r="O236" s="1">
        <f>H236*10^4*M236/C236</f>
        <v>9273193548.3870964</v>
      </c>
      <c r="P236" s="1">
        <f>I236*10000*M236/C236</f>
        <v>164064193.54838711</v>
      </c>
      <c r="Q236" s="1" t="s">
        <v>8</v>
      </c>
    </row>
    <row r="237" spans="1:17" ht="16" x14ac:dyDescent="0.25">
      <c r="A237" s="1" t="s">
        <v>55</v>
      </c>
      <c r="B237" s="1" t="s">
        <v>32</v>
      </c>
      <c r="C237" s="1">
        <v>471000</v>
      </c>
      <c r="D237" s="1">
        <v>19.3</v>
      </c>
      <c r="E237" s="1">
        <v>0.6</v>
      </c>
      <c r="F237" s="1">
        <v>0</v>
      </c>
      <c r="G237" s="2">
        <f>85*10^5</f>
        <v>8500000</v>
      </c>
      <c r="H237" s="2">
        <f>76*10^5</f>
        <v>7600000</v>
      </c>
      <c r="I237" s="2">
        <f>163*10^3</f>
        <v>163000</v>
      </c>
      <c r="J237" s="2">
        <f>163*10^3</f>
        <v>163000</v>
      </c>
      <c r="K237" s="1">
        <f t="shared" si="11"/>
        <v>1.9176470588235295</v>
      </c>
      <c r="L237" s="1">
        <f>J237/H237*100</f>
        <v>2.1447368421052633</v>
      </c>
      <c r="M237" s="6">
        <v>131749.12326666599</v>
      </c>
      <c r="N237" s="1">
        <f>G237*10^4*M237/C237</f>
        <v>23776381056.617008</v>
      </c>
      <c r="O237" s="1">
        <f>H237*10^4*M237/C237</f>
        <v>21258881885.916382</v>
      </c>
      <c r="P237" s="1">
        <f>I237*10000*M237/C237</f>
        <v>455947072.02689081</v>
      </c>
      <c r="Q237" s="1">
        <f>J237*10000*M237/C237</f>
        <v>455947072.02689081</v>
      </c>
    </row>
    <row r="238" spans="1:17" ht="16" x14ac:dyDescent="0.25">
      <c r="A238" s="1" t="s">
        <v>55</v>
      </c>
      <c r="B238" s="1" t="s">
        <v>7</v>
      </c>
      <c r="C238" s="1">
        <v>64000</v>
      </c>
      <c r="D238" s="1">
        <v>18.100000000000001</v>
      </c>
      <c r="E238" s="1">
        <v>2.6</v>
      </c>
      <c r="F238" s="1">
        <v>0</v>
      </c>
      <c r="G238" s="2">
        <f>123*10^5</f>
        <v>12300000</v>
      </c>
      <c r="H238" s="2" t="s">
        <v>8</v>
      </c>
      <c r="I238" s="2">
        <f>221*10^3</f>
        <v>221000</v>
      </c>
      <c r="J238" s="2">
        <f>221*10^3</f>
        <v>221000</v>
      </c>
      <c r="K238" s="1">
        <f t="shared" si="11"/>
        <v>1.7967479674796747</v>
      </c>
      <c r="L238" s="1" t="s">
        <v>8</v>
      </c>
      <c r="M238" s="6">
        <v>14716</v>
      </c>
      <c r="N238" s="1">
        <f>G238*10^4*M238/C238</f>
        <v>28282312500</v>
      </c>
      <c r="O238" s="1" t="s">
        <v>8</v>
      </c>
      <c r="P238" s="1">
        <f>I238*10000*M238/C238</f>
        <v>508161875</v>
      </c>
      <c r="Q238" s="1">
        <f>J238*10000*M238/C238</f>
        <v>508161875</v>
      </c>
    </row>
    <row r="239" spans="1:17" ht="16" x14ac:dyDescent="0.25">
      <c r="A239" s="1" t="s">
        <v>55</v>
      </c>
      <c r="B239" s="1" t="s">
        <v>9</v>
      </c>
      <c r="C239" s="1">
        <v>55000</v>
      </c>
      <c r="D239" s="1">
        <v>19.8</v>
      </c>
      <c r="E239" s="1">
        <v>1.9</v>
      </c>
      <c r="F239" s="1">
        <v>0</v>
      </c>
      <c r="G239" s="2">
        <f>80*10^5</f>
        <v>8000000</v>
      </c>
      <c r="H239" s="2">
        <f>72*10^5</f>
        <v>7200000</v>
      </c>
      <c r="I239" s="2">
        <f>115*10^3</f>
        <v>115000</v>
      </c>
      <c r="J239" s="2">
        <f>106*10^3</f>
        <v>106000</v>
      </c>
      <c r="K239" s="1">
        <f t="shared" si="11"/>
        <v>1.4375</v>
      </c>
      <c r="L239" s="1">
        <f>J239/H239*100</f>
        <v>1.4722222222222221</v>
      </c>
      <c r="M239" s="6">
        <v>11027</v>
      </c>
      <c r="N239" s="1">
        <f>G239*10^4*M239/C239</f>
        <v>16039272727.272728</v>
      </c>
      <c r="O239" s="1">
        <f>H239*10^4*M239/C239</f>
        <v>14435345454.545454</v>
      </c>
      <c r="P239" s="1">
        <f>I239*10000*M239/C239</f>
        <v>230564545.45454547</v>
      </c>
      <c r="Q239" s="1">
        <f>J239*10000*M239/C239</f>
        <v>212520363.63636363</v>
      </c>
    </row>
    <row r="240" spans="1:17" ht="16" x14ac:dyDescent="0.25">
      <c r="A240" s="1" t="s">
        <v>55</v>
      </c>
      <c r="B240" s="1" t="s">
        <v>10</v>
      </c>
      <c r="C240" s="1">
        <v>454000</v>
      </c>
      <c r="D240" s="1">
        <v>20.5</v>
      </c>
      <c r="E240" s="1">
        <v>0.5</v>
      </c>
      <c r="F240" s="1">
        <v>0.5</v>
      </c>
      <c r="G240" s="2">
        <f>95*10^5</f>
        <v>9500000</v>
      </c>
      <c r="H240" s="2">
        <f>91*10^5</f>
        <v>9100000</v>
      </c>
      <c r="I240" s="2">
        <f>177*10^3</f>
        <v>177000</v>
      </c>
      <c r="J240" s="2">
        <f>170*10^3</f>
        <v>170000</v>
      </c>
      <c r="K240" s="1">
        <f t="shared" si="11"/>
        <v>1.8631578947368423</v>
      </c>
      <c r="L240" s="1">
        <f>J240/H240*100</f>
        <v>1.8681318681318682</v>
      </c>
      <c r="M240" s="6">
        <v>117058</v>
      </c>
      <c r="N240" s="1">
        <f>G240*10^4*M240/C240</f>
        <v>24494515418.502201</v>
      </c>
      <c r="O240" s="1">
        <f>H240*10^4*M240/C240</f>
        <v>23463167400.881058</v>
      </c>
      <c r="P240" s="1">
        <f>I240*10000*M240/C240</f>
        <v>456371497.79735684</v>
      </c>
      <c r="Q240" s="1">
        <f>J240*10000*M240/C240</f>
        <v>438322907.48898679</v>
      </c>
    </row>
    <row r="241" spans="1:17" ht="16" x14ac:dyDescent="0.25">
      <c r="A241" s="1" t="s">
        <v>55</v>
      </c>
      <c r="B241" s="1" t="s">
        <v>11</v>
      </c>
      <c r="C241" s="1">
        <v>62000</v>
      </c>
      <c r="D241" s="1">
        <v>18.5</v>
      </c>
      <c r="E241" s="1">
        <v>0.4</v>
      </c>
      <c r="F241" s="1">
        <v>0.1</v>
      </c>
      <c r="G241" s="2">
        <f>90*10^5</f>
        <v>9000000</v>
      </c>
      <c r="H241" s="2">
        <f>88*10^5</f>
        <v>8800000</v>
      </c>
      <c r="I241" s="2">
        <f>99*10^3</f>
        <v>99000</v>
      </c>
      <c r="J241" s="2">
        <f>82*10^3</f>
        <v>82000</v>
      </c>
      <c r="K241" s="1">
        <f t="shared" si="11"/>
        <v>1.0999999999999999</v>
      </c>
      <c r="L241" s="1">
        <f>J241/H241*100</f>
        <v>0.93181818181818177</v>
      </c>
      <c r="M241" s="6">
        <v>14732</v>
      </c>
      <c r="N241" s="1">
        <f>G241*10^4*M241/C241</f>
        <v>21385161290.322582</v>
      </c>
      <c r="O241" s="1">
        <f>H241*10^4*M241/C241</f>
        <v>20909935483.870968</v>
      </c>
      <c r="P241" s="1">
        <f>I241*10000*M241/C241</f>
        <v>235236774.19354838</v>
      </c>
      <c r="Q241" s="1">
        <f>J241*10000*M241/C241</f>
        <v>194842580.6451613</v>
      </c>
    </row>
    <row r="242" spans="1:17" ht="16" x14ac:dyDescent="0.25">
      <c r="A242" s="1" t="s">
        <v>56</v>
      </c>
      <c r="B242" s="1" t="s">
        <v>12</v>
      </c>
      <c r="C242" s="1">
        <v>124000</v>
      </c>
      <c r="D242" s="1">
        <v>15.9</v>
      </c>
      <c r="E242" s="1">
        <v>0</v>
      </c>
      <c r="F242" s="1">
        <v>0</v>
      </c>
      <c r="G242" s="2">
        <f>53*10^5</f>
        <v>5300000</v>
      </c>
      <c r="H242" s="2">
        <f>51*10^5</f>
        <v>5100000</v>
      </c>
      <c r="I242" s="2">
        <f>27*10^3</f>
        <v>27000</v>
      </c>
      <c r="J242" s="2">
        <f>26*10^3</f>
        <v>26000</v>
      </c>
      <c r="K242" s="1">
        <f t="shared" si="11"/>
        <v>0.50943396226415094</v>
      </c>
      <c r="L242" s="1">
        <f>J242/H242*100</f>
        <v>0.50980392156862753</v>
      </c>
      <c r="M242" s="6">
        <v>39367</v>
      </c>
      <c r="N242" s="1">
        <f>G242*10^4*M242/C242</f>
        <v>16826217741.935484</v>
      </c>
      <c r="O242" s="1">
        <f>H242*10^4*M242/C242</f>
        <v>16191266129.032259</v>
      </c>
      <c r="P242" s="1">
        <f>I242*10000*M242/C242</f>
        <v>85718467.741935477</v>
      </c>
      <c r="Q242" s="1">
        <f>J242*10000*M242/C242</f>
        <v>82543709.67741935</v>
      </c>
    </row>
    <row r="243" spans="1:17" ht="16" x14ac:dyDescent="0.25">
      <c r="A243" s="1" t="s">
        <v>56</v>
      </c>
      <c r="B243" s="1" t="s">
        <v>32</v>
      </c>
      <c r="C243" s="1">
        <v>471000</v>
      </c>
      <c r="D243" s="1">
        <v>10.8</v>
      </c>
      <c r="E243" s="1">
        <v>0.6</v>
      </c>
      <c r="F243" s="1">
        <v>0</v>
      </c>
      <c r="G243" s="2">
        <f>149*10^5</f>
        <v>14900000</v>
      </c>
      <c r="H243" s="2">
        <f>142*10^5</f>
        <v>14200000</v>
      </c>
      <c r="I243" s="2">
        <f>83*10^3</f>
        <v>83000</v>
      </c>
      <c r="J243" s="2">
        <f>61*10^3</f>
        <v>61000</v>
      </c>
      <c r="K243" s="1">
        <f t="shared" si="11"/>
        <v>0.55704697986577179</v>
      </c>
      <c r="L243" s="1">
        <f>J243/H243*100</f>
        <v>0.42957746478873243</v>
      </c>
      <c r="M243" s="6">
        <v>135211.6085</v>
      </c>
      <c r="N243" s="1">
        <f>G243*10^4*M243/C243</f>
        <v>42773948336.518044</v>
      </c>
      <c r="O243" s="1">
        <f>H243*10^4*M243/C243</f>
        <v>40764433985.138</v>
      </c>
      <c r="P243" s="1">
        <f>I243*10000*M243/C243</f>
        <v>238270987.37791932</v>
      </c>
      <c r="Q243" s="1">
        <f>J243*10000*M243/C243</f>
        <v>175114822.04883227</v>
      </c>
    </row>
    <row r="244" spans="1:17" ht="16" x14ac:dyDescent="0.25">
      <c r="A244" s="1" t="s">
        <v>56</v>
      </c>
      <c r="B244" s="1" t="s">
        <v>7</v>
      </c>
      <c r="C244" s="1">
        <v>64000</v>
      </c>
      <c r="D244" s="1">
        <v>10.8</v>
      </c>
      <c r="E244" s="1">
        <v>3.9</v>
      </c>
      <c r="F244" s="1">
        <v>0</v>
      </c>
      <c r="G244" s="2">
        <f>208*10^5</f>
        <v>20800000</v>
      </c>
      <c r="H244" s="2">
        <f>178*10^5</f>
        <v>17800000</v>
      </c>
      <c r="I244" s="2">
        <f>73*10^3</f>
        <v>73000</v>
      </c>
      <c r="J244" s="2">
        <f>64*10^3</f>
        <v>64000</v>
      </c>
      <c r="K244" s="1">
        <f t="shared" si="11"/>
        <v>0.35096153846153844</v>
      </c>
      <c r="L244" s="1">
        <f>J244/H244*100</f>
        <v>0.3595505617977528</v>
      </c>
      <c r="M244" s="6">
        <v>15289</v>
      </c>
      <c r="N244" s="1">
        <f>G244*10^4*M244/C244</f>
        <v>49689250000</v>
      </c>
      <c r="O244" s="1">
        <f>H244*10^4*M244/C244</f>
        <v>42522531250</v>
      </c>
      <c r="P244" s="1">
        <f>I244*10000*M244/C244</f>
        <v>174390156.25</v>
      </c>
      <c r="Q244" s="1">
        <f>J244*10000*M244/C244</f>
        <v>152890000</v>
      </c>
    </row>
    <row r="245" spans="1:17" ht="16" x14ac:dyDescent="0.25">
      <c r="A245" s="1" t="s">
        <v>56</v>
      </c>
      <c r="B245" s="1" t="s">
        <v>9</v>
      </c>
      <c r="C245" s="1">
        <v>55000</v>
      </c>
      <c r="D245" s="1">
        <v>10.5</v>
      </c>
      <c r="E245" s="1">
        <v>1.4</v>
      </c>
      <c r="F245" s="1">
        <v>0</v>
      </c>
      <c r="G245" s="2">
        <f>96*10^5</f>
        <v>9600000</v>
      </c>
      <c r="H245" s="2">
        <f>93*10^5</f>
        <v>9300000</v>
      </c>
      <c r="I245" s="2">
        <f>88*10^3</f>
        <v>88000</v>
      </c>
      <c r="J245" s="2">
        <f>86*10^3</f>
        <v>86000</v>
      </c>
      <c r="K245" s="1">
        <f t="shared" si="11"/>
        <v>0.91666666666666663</v>
      </c>
      <c r="L245" s="1">
        <f>J245/H245*100</f>
        <v>0.92473118279569888</v>
      </c>
      <c r="M245" s="6">
        <v>10988</v>
      </c>
      <c r="N245" s="1">
        <f>G245*10^4*M245/C245</f>
        <v>19179054545.454544</v>
      </c>
      <c r="O245" s="1">
        <f>H245*10^4*M245/C245</f>
        <v>18579709090.909092</v>
      </c>
      <c r="P245" s="1">
        <f>I245*10000*M245/C245</f>
        <v>175808000</v>
      </c>
      <c r="Q245" s="1">
        <f>J245*10000*M245/C245</f>
        <v>171812363.63636363</v>
      </c>
    </row>
    <row r="246" spans="1:17" ht="16" x14ac:dyDescent="0.25">
      <c r="A246" s="1" t="s">
        <v>56</v>
      </c>
      <c r="B246" s="1" t="s">
        <v>10</v>
      </c>
      <c r="C246" s="1">
        <v>454000</v>
      </c>
      <c r="D246" s="1">
        <v>12.7</v>
      </c>
      <c r="E246" s="1">
        <v>0</v>
      </c>
      <c r="F246" s="1">
        <v>0</v>
      </c>
      <c r="G246" s="2">
        <f>156*10^5</f>
        <v>15600000</v>
      </c>
      <c r="H246" s="2">
        <f>131*10^5</f>
        <v>13100000</v>
      </c>
      <c r="I246" s="2">
        <f>65*10^3</f>
        <v>65000</v>
      </c>
      <c r="J246" s="2">
        <f>59*10^3</f>
        <v>59000</v>
      </c>
      <c r="K246" s="1">
        <f t="shared" si="11"/>
        <v>0.41666666666666669</v>
      </c>
      <c r="L246" s="1">
        <f>J246/H246*100</f>
        <v>0.45038167938931301</v>
      </c>
      <c r="M246" s="6">
        <v>121590</v>
      </c>
      <c r="N246" s="1">
        <f>G246*10^4*M246/C246</f>
        <v>41779823788.546257</v>
      </c>
      <c r="O246" s="1">
        <f>H246*10^4*M246/C246</f>
        <v>35084339207.048462</v>
      </c>
      <c r="P246" s="1">
        <f>I246*10000*M246/C246</f>
        <v>174082599.11894274</v>
      </c>
      <c r="Q246" s="1">
        <f>J246*10000*M246/C246</f>
        <v>158013436.12334803</v>
      </c>
    </row>
    <row r="247" spans="1:17" ht="16" x14ac:dyDescent="0.25">
      <c r="A247" s="1" t="s">
        <v>56</v>
      </c>
      <c r="B247" s="1" t="s">
        <v>11</v>
      </c>
      <c r="C247" s="1">
        <v>62000</v>
      </c>
      <c r="D247" s="1">
        <v>10.8</v>
      </c>
      <c r="E247" s="1">
        <v>0.1</v>
      </c>
      <c r="F247" s="1">
        <v>0</v>
      </c>
      <c r="G247" s="2">
        <f>70*10^5</f>
        <v>7000000</v>
      </c>
      <c r="H247" s="2">
        <f>70*10^5</f>
        <v>7000000</v>
      </c>
      <c r="I247" s="2">
        <f>81*10^3</f>
        <v>81000</v>
      </c>
      <c r="J247" s="2">
        <f>81*10^3</f>
        <v>81000</v>
      </c>
      <c r="K247" s="1">
        <f t="shared" si="11"/>
        <v>1.157142857142857</v>
      </c>
      <c r="L247" s="1">
        <f>J247/H247*100</f>
        <v>1.157142857142857</v>
      </c>
      <c r="M247" s="6">
        <v>15797</v>
      </c>
      <c r="N247" s="1">
        <f>G247*10^4*M247/C247</f>
        <v>17835322580.645161</v>
      </c>
      <c r="O247" s="1">
        <f>H247*10^4*M247/C247</f>
        <v>17835322580.645161</v>
      </c>
      <c r="P247" s="1">
        <f>I247*10000*M247/C247</f>
        <v>206380161.29032257</v>
      </c>
      <c r="Q247" s="1">
        <f>J247*10000*M247/C247</f>
        <v>206380161.29032257</v>
      </c>
    </row>
    <row r="248" spans="1:17" ht="16" x14ac:dyDescent="0.25">
      <c r="A248" s="1" t="s">
        <v>57</v>
      </c>
      <c r="B248" s="1" t="s">
        <v>12</v>
      </c>
      <c r="C248" s="1">
        <v>124000</v>
      </c>
      <c r="D248" s="1">
        <v>15.1</v>
      </c>
      <c r="E248" s="1">
        <v>12.6</v>
      </c>
      <c r="F248" s="1">
        <v>0</v>
      </c>
      <c r="G248" s="2">
        <f>93*10^5</f>
        <v>9300000</v>
      </c>
      <c r="H248" s="2">
        <f>85*10^5</f>
        <v>8500000</v>
      </c>
      <c r="I248" s="2">
        <f>73*10^3</f>
        <v>73000</v>
      </c>
      <c r="J248" s="2">
        <f>73*10^3</f>
        <v>73000</v>
      </c>
      <c r="K248" s="1">
        <f t="shared" si="11"/>
        <v>0.78494623655913975</v>
      </c>
      <c r="L248" s="1">
        <f>J248/H248*100</f>
        <v>0.85882352941176465</v>
      </c>
      <c r="M248" s="6">
        <v>36584</v>
      </c>
      <c r="N248" s="1">
        <f>G248*10^4*M248/C248</f>
        <v>27438000000</v>
      </c>
      <c r="O248" s="1">
        <f>H248*10^4*M248/C248</f>
        <v>25077741935.483871</v>
      </c>
      <c r="P248" s="1">
        <f>I248*10000*M248/C248</f>
        <v>215373548.38709676</v>
      </c>
      <c r="Q248" s="1">
        <f>J248*10000*M248/C248</f>
        <v>215373548.38709676</v>
      </c>
    </row>
    <row r="249" spans="1:17" ht="16" x14ac:dyDescent="0.25">
      <c r="A249" s="1" t="s">
        <v>57</v>
      </c>
      <c r="B249" s="1" t="s">
        <v>32</v>
      </c>
      <c r="C249" s="1">
        <v>471000</v>
      </c>
      <c r="D249" s="1">
        <v>10</v>
      </c>
      <c r="E249" s="1">
        <v>34.700000000000003</v>
      </c>
      <c r="F249" s="1">
        <v>16.399999999999999</v>
      </c>
      <c r="G249" s="2">
        <f>59*10^5</f>
        <v>5900000</v>
      </c>
      <c r="H249" s="2">
        <f>54*10^5</f>
        <v>5400000</v>
      </c>
      <c r="I249" s="2">
        <f>99*10^3</f>
        <v>99000</v>
      </c>
      <c r="J249" s="2">
        <f>83*10^3</f>
        <v>83000</v>
      </c>
      <c r="K249" s="1">
        <f t="shared" si="11"/>
        <v>1.6779661016949152</v>
      </c>
      <c r="L249" s="1">
        <f>J249/H249*100</f>
        <v>1.5370370370370372</v>
      </c>
      <c r="M249" s="6">
        <v>277244.61591666599</v>
      </c>
      <c r="N249" s="1">
        <f>G249*10^4*M249/C249</f>
        <v>34729155709.306358</v>
      </c>
      <c r="O249" s="1">
        <f>H249*10^4*M249/C249</f>
        <v>31786006920.382088</v>
      </c>
      <c r="P249" s="1">
        <f>I249*10000*M249/C249</f>
        <v>582743460.20700502</v>
      </c>
      <c r="Q249" s="1">
        <f>J249*10000*M249/C249</f>
        <v>488562698.9614284</v>
      </c>
    </row>
    <row r="250" spans="1:17" ht="16" x14ac:dyDescent="0.25">
      <c r="A250" s="1" t="s">
        <v>57</v>
      </c>
      <c r="B250" s="1" t="s">
        <v>7</v>
      </c>
      <c r="C250" s="1">
        <v>64000</v>
      </c>
      <c r="D250" s="1">
        <v>11</v>
      </c>
      <c r="E250" s="1">
        <v>18.8</v>
      </c>
      <c r="F250" s="1">
        <v>8.1999999999999993</v>
      </c>
      <c r="G250" s="2">
        <f>65*10^5</f>
        <v>6500000</v>
      </c>
      <c r="H250" s="2">
        <f>53*10^5</f>
        <v>5300000</v>
      </c>
      <c r="I250" s="2">
        <f>87*10^3</f>
        <v>87000</v>
      </c>
      <c r="J250" s="2">
        <f>82*10^3</f>
        <v>82000</v>
      </c>
      <c r="K250" s="1">
        <f t="shared" si="11"/>
        <v>1.3384615384615386</v>
      </c>
      <c r="L250" s="1">
        <f>J250/H250*100</f>
        <v>1.5471698113207546</v>
      </c>
      <c r="M250" s="6">
        <v>32870</v>
      </c>
      <c r="N250" s="1">
        <f>G250*10^4*M250/C250</f>
        <v>33383593750</v>
      </c>
      <c r="O250" s="1">
        <f>H250*10^4*M250/C250</f>
        <v>27220468750</v>
      </c>
      <c r="P250" s="1">
        <f>I250*10000*M250/C250</f>
        <v>446826562.5</v>
      </c>
      <c r="Q250" s="1">
        <f>J250*10000*M250/C250</f>
        <v>421146875</v>
      </c>
    </row>
    <row r="251" spans="1:17" ht="16" x14ac:dyDescent="0.25">
      <c r="A251" s="1" t="s">
        <v>57</v>
      </c>
      <c r="B251" s="1" t="s">
        <v>9</v>
      </c>
      <c r="C251" s="1">
        <v>55000</v>
      </c>
      <c r="D251" s="1">
        <v>10.1</v>
      </c>
      <c r="E251" s="1">
        <v>14.7</v>
      </c>
      <c r="F251" s="1">
        <v>1.1000000000000001</v>
      </c>
      <c r="G251" s="2">
        <f>99*10^5</f>
        <v>9900000</v>
      </c>
      <c r="H251" s="2">
        <f>85*10^5</f>
        <v>8500000</v>
      </c>
      <c r="I251" s="2">
        <f>120*10^3</f>
        <v>120000</v>
      </c>
      <c r="J251" s="2">
        <f>104*10^3</f>
        <v>104000</v>
      </c>
      <c r="K251" s="1">
        <f t="shared" si="11"/>
        <v>1.2121212121212122</v>
      </c>
      <c r="L251" s="1">
        <f>J251/H251*100</f>
        <v>1.223529411764706</v>
      </c>
      <c r="M251" s="6">
        <v>12968</v>
      </c>
      <c r="N251" s="1">
        <f>G251*10^4*M251/C251</f>
        <v>23342400000</v>
      </c>
      <c r="O251" s="1">
        <f>H251*10^4*M251/C251</f>
        <v>20041454545.454544</v>
      </c>
      <c r="P251" s="1">
        <f>I251*10000*M251/C251</f>
        <v>282938181.81818181</v>
      </c>
      <c r="Q251" s="1">
        <f>J251*10000*M251/C251</f>
        <v>245213090.90909091</v>
      </c>
    </row>
    <row r="252" spans="1:17" ht="16" x14ac:dyDescent="0.25">
      <c r="A252" s="1" t="s">
        <v>57</v>
      </c>
      <c r="B252" s="1" t="s">
        <v>10</v>
      </c>
      <c r="C252" s="1">
        <v>454000</v>
      </c>
      <c r="D252" s="1">
        <v>11.4</v>
      </c>
      <c r="E252" s="1">
        <v>36.6</v>
      </c>
      <c r="F252" s="1">
        <v>6.5</v>
      </c>
      <c r="G252" s="2">
        <f>68*10^5</f>
        <v>6800000</v>
      </c>
      <c r="H252" s="2">
        <f>63*10^5</f>
        <v>6300000</v>
      </c>
      <c r="I252" s="2">
        <f>139*10^3</f>
        <v>139000</v>
      </c>
      <c r="J252" s="2">
        <f>129*10^3</f>
        <v>129000</v>
      </c>
      <c r="K252" s="1">
        <f t="shared" si="11"/>
        <v>2.0441176470588238</v>
      </c>
      <c r="L252" s="1">
        <f>J252/H252*100</f>
        <v>2.0476190476190479</v>
      </c>
      <c r="M252" s="6">
        <v>159514</v>
      </c>
      <c r="N252" s="1">
        <f>G252*10^4*M252/C252</f>
        <v>23891964757.709251</v>
      </c>
      <c r="O252" s="1">
        <f>H252*10^4*M252/C252</f>
        <v>22135202643.171806</v>
      </c>
      <c r="P252" s="1">
        <f>I252*10000*M252/C252</f>
        <v>488379867.84140968</v>
      </c>
      <c r="Q252" s="1">
        <f>J252*10000*M252/C252</f>
        <v>453244625.55066079</v>
      </c>
    </row>
    <row r="253" spans="1:17" ht="16" x14ac:dyDescent="0.25">
      <c r="A253" s="1" t="s">
        <v>57</v>
      </c>
      <c r="B253" s="1" t="s">
        <v>11</v>
      </c>
      <c r="C253" s="1">
        <v>62000</v>
      </c>
      <c r="D253" s="1">
        <v>10.7</v>
      </c>
      <c r="E253" s="1">
        <v>22.8</v>
      </c>
      <c r="F253" s="1">
        <v>8.8000000000000007</v>
      </c>
      <c r="G253" s="2">
        <f>64*10^5</f>
        <v>6400000</v>
      </c>
      <c r="H253" s="2">
        <f>54*10^5</f>
        <v>5400000</v>
      </c>
      <c r="I253" s="2">
        <f>71*10^3</f>
        <v>71000</v>
      </c>
      <c r="J253" s="2">
        <f>61*10^3</f>
        <v>61000</v>
      </c>
      <c r="K253" s="1">
        <f t="shared" si="11"/>
        <v>1.109375</v>
      </c>
      <c r="L253" s="1">
        <f>J253/H253*100</f>
        <v>1.1296296296296295</v>
      </c>
      <c r="M253" s="6">
        <v>19191</v>
      </c>
      <c r="N253" s="1">
        <f>G253*10^4*M253/C253</f>
        <v>19810064516.129032</v>
      </c>
      <c r="O253" s="1">
        <f>H253*10^4*M253/C253</f>
        <v>16714741935.483871</v>
      </c>
      <c r="P253" s="1">
        <f>I253*10000*M253/C253</f>
        <v>219767903.22580644</v>
      </c>
      <c r="Q253" s="1">
        <f>J253*10000*M253/C253</f>
        <v>188814677.41935483</v>
      </c>
    </row>
    <row r="254" spans="1:17" ht="16" x14ac:dyDescent="0.25">
      <c r="A254" s="1" t="s">
        <v>58</v>
      </c>
      <c r="B254" s="1" t="s">
        <v>12</v>
      </c>
      <c r="C254" s="1">
        <v>124000</v>
      </c>
      <c r="D254" s="1">
        <v>16.3</v>
      </c>
      <c r="E254" s="1">
        <v>0</v>
      </c>
      <c r="F254" s="1">
        <v>0</v>
      </c>
      <c r="G254" s="2">
        <f>90*10^5</f>
        <v>9000000</v>
      </c>
      <c r="H254" s="2">
        <f>46*10^5</f>
        <v>4600000</v>
      </c>
      <c r="I254" s="2">
        <f>79*10^3</f>
        <v>79000</v>
      </c>
      <c r="J254" s="2">
        <f>75*10^3</f>
        <v>75000</v>
      </c>
      <c r="K254" s="1">
        <f t="shared" si="11"/>
        <v>0.87777777777777788</v>
      </c>
      <c r="L254" s="1">
        <f>J254/H254*100</f>
        <v>1.6304347826086956</v>
      </c>
      <c r="M254" s="6">
        <v>37332</v>
      </c>
      <c r="N254" s="1">
        <f>G254*10^4*M254/C254</f>
        <v>27095806451.612904</v>
      </c>
      <c r="O254" s="1">
        <f>H254*10^4*M254/C254</f>
        <v>13848967741.935484</v>
      </c>
      <c r="P254" s="1">
        <f>I254*10000*M254/C254</f>
        <v>237840967.74193549</v>
      </c>
      <c r="Q254" s="1">
        <f>J254*10000*M254/C254</f>
        <v>225798387.09677419</v>
      </c>
    </row>
    <row r="255" spans="1:17" x14ac:dyDescent="0.2">
      <c r="A255" s="1" t="s">
        <v>58</v>
      </c>
      <c r="B255" s="1" t="s">
        <v>32</v>
      </c>
      <c r="C255" s="1">
        <v>471000</v>
      </c>
      <c r="D255" s="1">
        <v>10.1</v>
      </c>
      <c r="E255" s="1">
        <v>23.6</v>
      </c>
      <c r="F255" s="1">
        <v>0</v>
      </c>
      <c r="G255" s="2" t="s">
        <v>8</v>
      </c>
      <c r="H255" s="2" t="s">
        <v>8</v>
      </c>
      <c r="I255" s="2" t="s">
        <v>8</v>
      </c>
      <c r="J255" s="2" t="s">
        <v>8</v>
      </c>
      <c r="K255" s="1" t="s">
        <v>8</v>
      </c>
      <c r="L255" s="1" t="s">
        <v>8</v>
      </c>
      <c r="M255" s="5" t="s">
        <v>8</v>
      </c>
      <c r="N255" s="1" t="s">
        <v>8</v>
      </c>
      <c r="O255" s="1" t="s">
        <v>8</v>
      </c>
      <c r="P255" s="1" t="s">
        <v>8</v>
      </c>
      <c r="Q255" s="1" t="s">
        <v>8</v>
      </c>
    </row>
    <row r="256" spans="1:17" ht="16" x14ac:dyDescent="0.25">
      <c r="A256" s="1" t="s">
        <v>58</v>
      </c>
      <c r="B256" s="1" t="s">
        <v>7</v>
      </c>
      <c r="C256" s="1">
        <v>64000</v>
      </c>
      <c r="D256" s="1">
        <v>9.8000000000000007</v>
      </c>
      <c r="E256" s="1">
        <v>16</v>
      </c>
      <c r="F256" s="1">
        <v>0</v>
      </c>
      <c r="G256" s="2">
        <f>68*10^5</f>
        <v>6800000</v>
      </c>
      <c r="H256" s="2">
        <f>58*10^5</f>
        <v>5800000</v>
      </c>
      <c r="I256" s="2">
        <f>173*10^3</f>
        <v>173000</v>
      </c>
      <c r="J256" s="2">
        <f>167*10^3</f>
        <v>167000</v>
      </c>
      <c r="K256" s="1">
        <f t="shared" ref="K256:K285" si="12">I256/G256*100</f>
        <v>2.5441176470588234</v>
      </c>
      <c r="L256" s="1">
        <f>J256/H256*100</f>
        <v>2.8793103448275863</v>
      </c>
      <c r="M256" s="6">
        <v>24274</v>
      </c>
      <c r="N256" s="1">
        <f>G256*10^4*M256/C256</f>
        <v>25791125000</v>
      </c>
      <c r="O256" s="1">
        <f>H256*10^4*M256/C256</f>
        <v>21998312500</v>
      </c>
      <c r="P256" s="1">
        <f>I256*10000*M256/C256</f>
        <v>656156562.5</v>
      </c>
      <c r="Q256" s="1">
        <f>J256*10000*M256/C256</f>
        <v>633399687.5</v>
      </c>
    </row>
    <row r="257" spans="1:17" ht="16" x14ac:dyDescent="0.25">
      <c r="A257" s="1" t="s">
        <v>58</v>
      </c>
      <c r="B257" s="1" t="s">
        <v>9</v>
      </c>
      <c r="C257" s="1">
        <v>55000</v>
      </c>
      <c r="D257" s="1">
        <v>12.8</v>
      </c>
      <c r="E257" s="1">
        <v>16.600000000000001</v>
      </c>
      <c r="F257" s="1">
        <v>0</v>
      </c>
      <c r="G257" s="2">
        <f>83*10^5</f>
        <v>8300000</v>
      </c>
      <c r="H257" s="2">
        <f>80*10^5</f>
        <v>8000000</v>
      </c>
      <c r="I257" s="2">
        <f>132*10^3</f>
        <v>132000</v>
      </c>
      <c r="J257" s="2">
        <f>125*10^3</f>
        <v>125000</v>
      </c>
      <c r="K257" s="1">
        <f t="shared" si="12"/>
        <v>1.5903614457831325</v>
      </c>
      <c r="L257" s="1">
        <f>J257/H257*100</f>
        <v>1.5625</v>
      </c>
      <c r="M257" s="6">
        <v>11311</v>
      </c>
      <c r="N257" s="1">
        <f>G257*10^4*M257/C257</f>
        <v>17069327272.727272</v>
      </c>
      <c r="O257" s="1">
        <f>H257*10^4*M257/C257</f>
        <v>16452363636.363636</v>
      </c>
      <c r="P257" s="1">
        <f>I257*10000*M257/C257</f>
        <v>271464000</v>
      </c>
      <c r="Q257" s="1">
        <f>J257*10000*M257/C257</f>
        <v>257068181.81818181</v>
      </c>
    </row>
    <row r="258" spans="1:17" x14ac:dyDescent="0.2">
      <c r="A258" s="1" t="s">
        <v>58</v>
      </c>
      <c r="B258" s="1" t="s">
        <v>10</v>
      </c>
      <c r="C258" s="1">
        <v>454000</v>
      </c>
      <c r="D258" s="1">
        <v>14.7</v>
      </c>
      <c r="E258" s="1">
        <v>12.3</v>
      </c>
      <c r="F258" s="1">
        <v>0</v>
      </c>
      <c r="G258" s="2">
        <f>97*10^5</f>
        <v>9700000</v>
      </c>
      <c r="H258" s="2">
        <f>90*10^5</f>
        <v>9000000</v>
      </c>
      <c r="I258" s="2">
        <f>136*10^3</f>
        <v>136000</v>
      </c>
      <c r="J258" s="2">
        <f>128*10^3</f>
        <v>128000</v>
      </c>
      <c r="K258" s="1">
        <f t="shared" si="12"/>
        <v>1.402061855670103</v>
      </c>
      <c r="L258" s="1">
        <f>J258/H258*100</f>
        <v>1.4222222222222223</v>
      </c>
      <c r="M258" s="5">
        <v>125014</v>
      </c>
      <c r="N258" s="1">
        <f>G258*10^4*M258/C258</f>
        <v>26710039647.577091</v>
      </c>
      <c r="O258" s="1">
        <f>H258*10^4*M258/C258</f>
        <v>24782511013.215858</v>
      </c>
      <c r="P258" s="1">
        <f>I258*10000*M258/C258</f>
        <v>374491277.53303963</v>
      </c>
      <c r="Q258" s="1">
        <f>J258*10000*M258/C258</f>
        <v>352462378.85462552</v>
      </c>
    </row>
    <row r="259" spans="1:17" ht="16" x14ac:dyDescent="0.25">
      <c r="A259" s="1" t="s">
        <v>58</v>
      </c>
      <c r="B259" s="1" t="s">
        <v>11</v>
      </c>
      <c r="C259" s="1">
        <v>62000</v>
      </c>
      <c r="D259" s="1">
        <v>13.4</v>
      </c>
      <c r="E259" s="1">
        <v>10.199999999999999</v>
      </c>
      <c r="F259" s="1">
        <v>0</v>
      </c>
      <c r="G259" s="2">
        <f>86*10^5</f>
        <v>8600000</v>
      </c>
      <c r="H259" s="2">
        <f>74*10^5</f>
        <v>7400000</v>
      </c>
      <c r="I259" s="2">
        <f>75*10^3</f>
        <v>75000</v>
      </c>
      <c r="J259" s="2">
        <f>66*10^3</f>
        <v>66000</v>
      </c>
      <c r="K259" s="1">
        <f t="shared" si="12"/>
        <v>0.87209302325581395</v>
      </c>
      <c r="L259" s="1">
        <f>J259/H259*100</f>
        <v>0.891891891891892</v>
      </c>
      <c r="M259" s="6">
        <v>15825</v>
      </c>
      <c r="N259" s="1">
        <f>G259*10^4*M259/C259</f>
        <v>21950806451.612904</v>
      </c>
      <c r="O259" s="1">
        <f>H259*10^4*M259/C259</f>
        <v>18887903225.80645</v>
      </c>
      <c r="P259" s="1">
        <f>I259*10000*M259/C259</f>
        <v>191431451.61290324</v>
      </c>
      <c r="Q259" s="1">
        <f>J259*10000*M259/C259</f>
        <v>168459677.41935483</v>
      </c>
    </row>
    <row r="260" spans="1:17" ht="16" x14ac:dyDescent="0.25">
      <c r="A260" s="1" t="s">
        <v>59</v>
      </c>
      <c r="B260" s="1" t="s">
        <v>12</v>
      </c>
      <c r="C260" s="1">
        <v>124000</v>
      </c>
      <c r="D260" s="1">
        <v>14.6</v>
      </c>
      <c r="E260" s="1">
        <v>50.6</v>
      </c>
      <c r="F260" s="1">
        <v>0</v>
      </c>
      <c r="G260" s="2">
        <f>29*10^5</f>
        <v>2900000</v>
      </c>
      <c r="H260" s="2">
        <f>25*10^5</f>
        <v>2500000</v>
      </c>
      <c r="I260" s="2">
        <f>58*10^3</f>
        <v>58000</v>
      </c>
      <c r="J260" s="2">
        <f>45*10^3</f>
        <v>45000</v>
      </c>
      <c r="K260" s="1">
        <f t="shared" si="12"/>
        <v>2</v>
      </c>
      <c r="L260" s="1">
        <f>J260/H260*100</f>
        <v>1.7999999999999998</v>
      </c>
      <c r="M260" s="6">
        <v>40495</v>
      </c>
      <c r="N260" s="1">
        <f>G260*10^4*M260/C260</f>
        <v>9470604838.7096767</v>
      </c>
      <c r="O260" s="1">
        <f>H260*10^4*M260/C260</f>
        <v>8164314516.1290321</v>
      </c>
      <c r="P260" s="1">
        <f>I260*10000*M260/C260</f>
        <v>189412096.77419356</v>
      </c>
      <c r="Q260" s="1">
        <f>J260*10000*M260/C260</f>
        <v>146957661.29032257</v>
      </c>
    </row>
    <row r="261" spans="1:17" x14ac:dyDescent="0.2">
      <c r="A261" s="1" t="s">
        <v>59</v>
      </c>
      <c r="B261" s="1" t="s">
        <v>32</v>
      </c>
      <c r="C261" s="1">
        <v>471000</v>
      </c>
      <c r="D261" s="1">
        <v>14.2</v>
      </c>
      <c r="E261" s="1">
        <v>0.7</v>
      </c>
      <c r="F261" s="1">
        <v>0</v>
      </c>
      <c r="G261" s="2">
        <f>54*10^5</f>
        <v>5400000</v>
      </c>
      <c r="H261" s="2">
        <f>44*10^5</f>
        <v>4400000</v>
      </c>
      <c r="I261" s="2">
        <f>138*10^3</f>
        <v>138000</v>
      </c>
      <c r="J261" s="2">
        <f>123*10^3</f>
        <v>123000</v>
      </c>
      <c r="K261" s="1">
        <f t="shared" si="12"/>
        <v>2.5555555555555558</v>
      </c>
      <c r="L261" s="1">
        <f>J261/H261*100</f>
        <v>2.7954545454545454</v>
      </c>
      <c r="M261" s="5">
        <v>143167.71139999901</v>
      </c>
      <c r="N261" s="1">
        <f>G261*10^4*M261/C261</f>
        <v>16414132517.19734</v>
      </c>
      <c r="O261" s="1">
        <f>H261*10^4*M261/C261</f>
        <v>13374478347.34598</v>
      </c>
      <c r="P261" s="1">
        <f>I261*10000*M261/C261</f>
        <v>419472275.43948752</v>
      </c>
      <c r="Q261" s="1">
        <f>J261*10000*M261/C261</f>
        <v>373877462.89171714</v>
      </c>
    </row>
    <row r="262" spans="1:17" ht="16" x14ac:dyDescent="0.25">
      <c r="A262" s="1" t="s">
        <v>59</v>
      </c>
      <c r="B262" s="1" t="s">
        <v>7</v>
      </c>
      <c r="C262" s="1">
        <v>64000</v>
      </c>
      <c r="D262" s="1">
        <v>14.4</v>
      </c>
      <c r="E262" s="1">
        <v>1.4</v>
      </c>
      <c r="F262" s="1">
        <v>0</v>
      </c>
      <c r="G262" s="2">
        <f>108*10^5</f>
        <v>10800000</v>
      </c>
      <c r="H262" s="2">
        <f>86*10^5</f>
        <v>8600000</v>
      </c>
      <c r="I262" s="2">
        <f>93*10^3</f>
        <v>93000</v>
      </c>
      <c r="J262" s="2">
        <f>80*10^3</f>
        <v>80000</v>
      </c>
      <c r="K262" s="1">
        <f t="shared" si="12"/>
        <v>0.86111111111111116</v>
      </c>
      <c r="L262" s="1">
        <f>J262/H262*100</f>
        <v>0.93023255813953487</v>
      </c>
      <c r="M262" s="6">
        <v>15332</v>
      </c>
      <c r="N262" s="1">
        <f>G262*10^4*M262/C262</f>
        <v>25872750000</v>
      </c>
      <c r="O262" s="1">
        <f>H262*10^4*M262/C262</f>
        <v>20602375000</v>
      </c>
      <c r="P262" s="1">
        <f>I262*10000*M262/C262</f>
        <v>222793125</v>
      </c>
      <c r="Q262" s="1">
        <f>J262*10000*M262/C262</f>
        <v>191650000</v>
      </c>
    </row>
    <row r="263" spans="1:17" ht="16" x14ac:dyDescent="0.25">
      <c r="A263" s="1" t="s">
        <v>59</v>
      </c>
      <c r="B263" s="1" t="s">
        <v>9</v>
      </c>
      <c r="C263" s="1">
        <v>55000</v>
      </c>
      <c r="D263" s="1">
        <v>13.6</v>
      </c>
      <c r="E263" s="1">
        <v>7</v>
      </c>
      <c r="F263" s="1">
        <v>0</v>
      </c>
      <c r="G263" s="2">
        <f>108*10^5</f>
        <v>10800000</v>
      </c>
      <c r="H263" s="2">
        <f>84*10^5</f>
        <v>8400000</v>
      </c>
      <c r="I263" s="2">
        <f>121*10^3</f>
        <v>121000</v>
      </c>
      <c r="J263" s="2">
        <f>113*10^3</f>
        <v>113000</v>
      </c>
      <c r="K263" s="1">
        <f t="shared" si="12"/>
        <v>1.1203703703703705</v>
      </c>
      <c r="L263" s="1">
        <f>J263/H263*100</f>
        <v>1.3452380952380951</v>
      </c>
      <c r="M263" s="6">
        <v>9771</v>
      </c>
      <c r="N263" s="1">
        <f>G263*10^4*M263/C263</f>
        <v>19186690909.090908</v>
      </c>
      <c r="O263" s="1">
        <f>H263*10^4*M263/C263</f>
        <v>14922981818.181818</v>
      </c>
      <c r="P263" s="1">
        <f>I263*10000*M263/C263</f>
        <v>214962000</v>
      </c>
      <c r="Q263" s="1">
        <f>J263*10000*M263/C263</f>
        <v>200749636.36363637</v>
      </c>
    </row>
    <row r="264" spans="1:17" ht="16" x14ac:dyDescent="0.25">
      <c r="A264" s="1" t="s">
        <v>59</v>
      </c>
      <c r="B264" s="1" t="s">
        <v>10</v>
      </c>
      <c r="C264" s="1">
        <v>454000</v>
      </c>
      <c r="D264" s="1">
        <v>14.6</v>
      </c>
      <c r="E264" s="1">
        <v>4</v>
      </c>
      <c r="F264" s="1">
        <v>1.5</v>
      </c>
      <c r="G264" s="2">
        <f>86*10^5</f>
        <v>8600000</v>
      </c>
      <c r="H264" s="2">
        <f>83*10^5</f>
        <v>8300000</v>
      </c>
      <c r="I264" s="2">
        <f>166*10^3</f>
        <v>166000</v>
      </c>
      <c r="J264" s="2">
        <f>148*10^3</f>
        <v>148000</v>
      </c>
      <c r="K264" s="1">
        <f t="shared" si="12"/>
        <v>1.9302325581395348</v>
      </c>
      <c r="L264" s="1">
        <f>J264/H264*100</f>
        <v>1.7831325301204819</v>
      </c>
      <c r="M264" s="6">
        <v>115502</v>
      </c>
      <c r="N264" s="1">
        <f>G264*10^4*M264/C264</f>
        <v>21879233480.176212</v>
      </c>
      <c r="O264" s="1">
        <f>H264*10^4*M264/C264</f>
        <v>21116004405.286343</v>
      </c>
      <c r="P264" s="1">
        <f>I264*10000*M264/C264</f>
        <v>422320088.1057269</v>
      </c>
      <c r="Q264" s="1">
        <f>J264*10000*M264/C264</f>
        <v>376526343.61233479</v>
      </c>
    </row>
    <row r="265" spans="1:17" ht="16" x14ac:dyDescent="0.25">
      <c r="A265" s="1" t="s">
        <v>59</v>
      </c>
      <c r="B265" s="1" t="s">
        <v>11</v>
      </c>
      <c r="C265" s="1">
        <v>62000</v>
      </c>
      <c r="D265" s="1">
        <v>13.8</v>
      </c>
      <c r="E265" s="1">
        <v>3.5</v>
      </c>
      <c r="F265" s="1">
        <v>0</v>
      </c>
      <c r="G265" s="2">
        <f>87*10^5</f>
        <v>8700000</v>
      </c>
      <c r="H265" s="2">
        <f>54*10^5</f>
        <v>5400000</v>
      </c>
      <c r="I265" s="2">
        <f>83*10^3</f>
        <v>83000</v>
      </c>
      <c r="J265" s="2">
        <f>77*10^3</f>
        <v>77000</v>
      </c>
      <c r="K265" s="1">
        <f t="shared" si="12"/>
        <v>0.95402298850574707</v>
      </c>
      <c r="L265" s="1">
        <f>J265/H265*100</f>
        <v>1.425925925925926</v>
      </c>
      <c r="M265" s="6">
        <v>15349</v>
      </c>
      <c r="N265" s="1">
        <f>G265*10^4*M265/C265</f>
        <v>21538112903.225807</v>
      </c>
      <c r="O265" s="1">
        <f>H265*10^4*M265/C265</f>
        <v>13368483870.967741</v>
      </c>
      <c r="P265" s="1">
        <f>I265*10000*M265/C265</f>
        <v>205478548.38709676</v>
      </c>
      <c r="Q265" s="1">
        <f>J265*10000*M265/C265</f>
        <v>190624677.41935483</v>
      </c>
    </row>
    <row r="266" spans="1:17" ht="16" x14ac:dyDescent="0.25">
      <c r="A266" s="1" t="s">
        <v>60</v>
      </c>
      <c r="B266" s="1" t="s">
        <v>12</v>
      </c>
      <c r="C266" s="1">
        <v>124000</v>
      </c>
      <c r="D266" s="1">
        <v>16</v>
      </c>
      <c r="E266" s="1">
        <v>0</v>
      </c>
      <c r="F266" s="1">
        <v>0</v>
      </c>
      <c r="G266" s="2">
        <f>53*10^5</f>
        <v>5300000</v>
      </c>
      <c r="H266" s="2">
        <f>38*10^5</f>
        <v>3800000</v>
      </c>
      <c r="I266" s="2">
        <f>95*10^3</f>
        <v>95000</v>
      </c>
      <c r="J266" s="2">
        <f>88*10^3</f>
        <v>88000</v>
      </c>
      <c r="K266" s="1">
        <f t="shared" si="12"/>
        <v>1.7924528301886793</v>
      </c>
      <c r="L266" s="1">
        <f>J266/H266*100</f>
        <v>2.3157894736842106</v>
      </c>
      <c r="M266" s="6">
        <v>38552</v>
      </c>
      <c r="N266" s="1">
        <f>G266*10^4*M266/C266</f>
        <v>16477870967.741936</v>
      </c>
      <c r="O266" s="1">
        <f>H266*10^4*M266/C266</f>
        <v>11814322580.645161</v>
      </c>
      <c r="P266" s="1">
        <f>I266*10000*M266/C266</f>
        <v>295358064.51612902</v>
      </c>
      <c r="Q266" s="1">
        <f>J266*10000*M266/C266</f>
        <v>273594838.7096774</v>
      </c>
    </row>
    <row r="267" spans="1:17" ht="16" x14ac:dyDescent="0.25">
      <c r="A267" s="1" t="s">
        <v>60</v>
      </c>
      <c r="B267" s="1" t="s">
        <v>32</v>
      </c>
      <c r="C267" s="1">
        <v>471000</v>
      </c>
      <c r="D267" s="1">
        <v>15</v>
      </c>
      <c r="E267" s="1">
        <v>0</v>
      </c>
      <c r="F267" s="1">
        <v>0</v>
      </c>
      <c r="G267" s="2">
        <f>72*10^5</f>
        <v>7200000</v>
      </c>
      <c r="H267" s="2">
        <f>72*10^5</f>
        <v>7200000</v>
      </c>
      <c r="I267" s="2">
        <f>136*10^3</f>
        <v>136000</v>
      </c>
      <c r="J267" s="2">
        <f>123*10^3</f>
        <v>123000</v>
      </c>
      <c r="K267" s="1">
        <f t="shared" si="12"/>
        <v>1.8888888888888888</v>
      </c>
      <c r="L267" s="1">
        <f>J267/H267*100</f>
        <v>1.7083333333333333</v>
      </c>
      <c r="M267" s="6">
        <v>139724.041733333</v>
      </c>
      <c r="N267" s="1">
        <f>G267*10^4*M267/C267</f>
        <v>21359089182.165554</v>
      </c>
      <c r="O267" s="1">
        <f>H267*10^4*M267/C267</f>
        <v>21359089182.165554</v>
      </c>
      <c r="P267" s="1">
        <f>I267*10000*M267/C267</f>
        <v>403449462.32979381</v>
      </c>
      <c r="Q267" s="1">
        <f>J267*10000*M267/C267</f>
        <v>364884440.19532824</v>
      </c>
    </row>
    <row r="268" spans="1:17" ht="16" x14ac:dyDescent="0.25">
      <c r="A268" s="1" t="s">
        <v>60</v>
      </c>
      <c r="B268" s="1" t="s">
        <v>7</v>
      </c>
      <c r="C268" s="1">
        <v>64000</v>
      </c>
      <c r="D268" s="1">
        <v>14.3</v>
      </c>
      <c r="E268" s="1">
        <v>0.1</v>
      </c>
      <c r="F268" s="1">
        <v>0</v>
      </c>
      <c r="G268" s="2">
        <f>71*10^5</f>
        <v>7100000</v>
      </c>
      <c r="H268" s="2">
        <f>68*10^5</f>
        <v>6800000</v>
      </c>
      <c r="I268" s="2">
        <f>192*10^3</f>
        <v>192000</v>
      </c>
      <c r="J268" s="2">
        <f>176*10^3</f>
        <v>176000</v>
      </c>
      <c r="K268" s="1">
        <f t="shared" si="12"/>
        <v>2.704225352112676</v>
      </c>
      <c r="L268" s="1">
        <f>J268/H268*100</f>
        <v>2.5882352941176472</v>
      </c>
      <c r="M268" s="6">
        <v>17353</v>
      </c>
      <c r="N268" s="1">
        <f>G268*10^4*M268/C268</f>
        <v>19250984375</v>
      </c>
      <c r="O268" s="1">
        <f>H268*10^4*M268/C268</f>
        <v>18437562500</v>
      </c>
      <c r="P268" s="1">
        <f>I268*10000*M268/C268</f>
        <v>520590000</v>
      </c>
      <c r="Q268" s="1">
        <f>J268*10000*M268/C268</f>
        <v>477207500</v>
      </c>
    </row>
    <row r="269" spans="1:17" ht="16" x14ac:dyDescent="0.25">
      <c r="A269" s="1" t="s">
        <v>60</v>
      </c>
      <c r="B269" s="1" t="s">
        <v>9</v>
      </c>
      <c r="C269" s="1">
        <v>55000</v>
      </c>
      <c r="D269" s="1">
        <v>15.1</v>
      </c>
      <c r="E269" s="1">
        <v>0</v>
      </c>
      <c r="F269" s="1">
        <v>0</v>
      </c>
      <c r="G269" s="2">
        <f>59*10^5</f>
        <v>5900000</v>
      </c>
      <c r="H269" s="2">
        <f>52*10^5</f>
        <v>5200000</v>
      </c>
      <c r="I269" s="2">
        <f>148*10^3</f>
        <v>148000</v>
      </c>
      <c r="J269" s="2">
        <f>128*10^3</f>
        <v>128000</v>
      </c>
      <c r="K269" s="1">
        <f t="shared" si="12"/>
        <v>2.5084745762711864</v>
      </c>
      <c r="L269" s="1">
        <f>J269/H269*100</f>
        <v>2.4615384615384617</v>
      </c>
      <c r="M269" s="6">
        <v>10521</v>
      </c>
      <c r="N269" s="1">
        <f>G269*10^4*M269/C269</f>
        <v>11286163636.363636</v>
      </c>
      <c r="O269" s="1">
        <f>H269*10^4*M269/C269</f>
        <v>9947127272.727272</v>
      </c>
      <c r="P269" s="1">
        <f>I269*10000*M269/C269</f>
        <v>283110545.45454544</v>
      </c>
      <c r="Q269" s="1">
        <f>J269*10000*M269/C269</f>
        <v>244852363.63636363</v>
      </c>
    </row>
    <row r="270" spans="1:17" x14ac:dyDescent="0.2">
      <c r="A270" s="1" t="s">
        <v>60</v>
      </c>
      <c r="B270" s="1" t="s">
        <v>10</v>
      </c>
      <c r="C270" s="1">
        <v>454000</v>
      </c>
      <c r="D270" s="1">
        <v>15.7</v>
      </c>
      <c r="E270" s="1">
        <v>0</v>
      </c>
      <c r="F270" s="1">
        <v>0</v>
      </c>
      <c r="G270" s="2">
        <f>89*10^5</f>
        <v>8900000</v>
      </c>
      <c r="H270" s="2">
        <f>65*10^5</f>
        <v>6500000</v>
      </c>
      <c r="I270" s="2">
        <f>151*10^3</f>
        <v>151000</v>
      </c>
      <c r="J270" s="2">
        <f>128*10^3</f>
        <v>128000</v>
      </c>
      <c r="K270" s="1">
        <f t="shared" si="12"/>
        <v>1.696629213483146</v>
      </c>
      <c r="L270" s="1">
        <f>J270/H270*100</f>
        <v>1.9692307692307693</v>
      </c>
      <c r="M270" s="5">
        <v>109506</v>
      </c>
      <c r="N270" s="1">
        <f>G270*10^4*M270/C270</f>
        <v>21467035242.290749</v>
      </c>
      <c r="O270" s="1">
        <f>H270*10^4*M270/C270</f>
        <v>15678171806.1674</v>
      </c>
      <c r="P270" s="1">
        <f>I270*10000*M270/C270</f>
        <v>364215991.18942732</v>
      </c>
      <c r="Q270" s="1">
        <f>J270*10000*M270/C270</f>
        <v>308739383.25991189</v>
      </c>
    </row>
    <row r="271" spans="1:17" ht="16" x14ac:dyDescent="0.25">
      <c r="A271" s="1" t="s">
        <v>60</v>
      </c>
      <c r="B271" s="1" t="s">
        <v>11</v>
      </c>
      <c r="C271" s="1">
        <v>62000</v>
      </c>
      <c r="D271" s="1">
        <v>14.9</v>
      </c>
      <c r="E271" s="1">
        <v>0</v>
      </c>
      <c r="F271" s="1">
        <v>0</v>
      </c>
      <c r="G271" s="2">
        <f>83*10^5</f>
        <v>8300000</v>
      </c>
      <c r="H271" s="2">
        <f>66*10^5</f>
        <v>6600000</v>
      </c>
      <c r="I271" s="2">
        <f>107*10^3</f>
        <v>107000</v>
      </c>
      <c r="J271" s="2">
        <f>96*10^3</f>
        <v>96000</v>
      </c>
      <c r="K271" s="1">
        <f t="shared" si="12"/>
        <v>1.2891566265060241</v>
      </c>
      <c r="L271" s="1">
        <f>J271/H271*100</f>
        <v>1.4545454545454546</v>
      </c>
      <c r="M271" s="6">
        <v>14737</v>
      </c>
      <c r="N271" s="1">
        <f>G271*10^4*M271/C271</f>
        <v>19728564516.129032</v>
      </c>
      <c r="O271" s="1">
        <f>H271*10^4*M271/C271</f>
        <v>15687774193.548388</v>
      </c>
      <c r="P271" s="1">
        <f>I271*10000*M271/C271</f>
        <v>254332096.77419356</v>
      </c>
      <c r="Q271" s="1">
        <f>J271*10000*M271/C271</f>
        <v>228185806.45161289</v>
      </c>
    </row>
    <row r="272" spans="1:17" ht="16" x14ac:dyDescent="0.25">
      <c r="A272" s="1" t="s">
        <v>61</v>
      </c>
      <c r="B272" s="1" t="s">
        <v>12</v>
      </c>
      <c r="C272" s="1">
        <v>124000</v>
      </c>
      <c r="D272" s="1">
        <v>15.6</v>
      </c>
      <c r="E272" s="1">
        <v>81.900000000000006</v>
      </c>
      <c r="F272" s="1">
        <v>0</v>
      </c>
      <c r="G272" s="2">
        <f>5*10^5</f>
        <v>500000</v>
      </c>
      <c r="H272" s="2">
        <f>2*10^5</f>
        <v>200000</v>
      </c>
      <c r="I272" s="2">
        <f>7*10^3</f>
        <v>7000</v>
      </c>
      <c r="J272" s="2">
        <f>6*10^3</f>
        <v>6000</v>
      </c>
      <c r="K272" s="1">
        <f t="shared" si="12"/>
        <v>1.4000000000000001</v>
      </c>
      <c r="L272" s="1">
        <f>J272/H272*100</f>
        <v>3</v>
      </c>
      <c r="M272" s="6">
        <v>97412</v>
      </c>
      <c r="N272" s="1">
        <f>G272*10^4*M272/C272</f>
        <v>3927903225.8064518</v>
      </c>
      <c r="O272" s="1">
        <f>H272*10^4*M272/C272</f>
        <v>1571161290.3225806</v>
      </c>
      <c r="P272" s="1">
        <f>I272*10000*M272/C272</f>
        <v>54990645.161290325</v>
      </c>
      <c r="Q272" s="1">
        <f>J272*10000*M272/C272</f>
        <v>47134838.709677421</v>
      </c>
    </row>
    <row r="273" spans="1:17" ht="16" x14ac:dyDescent="0.25">
      <c r="A273" s="1" t="s">
        <v>61</v>
      </c>
      <c r="B273" s="1" t="s">
        <v>32</v>
      </c>
      <c r="C273" s="1">
        <v>471000</v>
      </c>
      <c r="D273" s="1">
        <v>12.8</v>
      </c>
      <c r="E273" s="1">
        <v>16.899999999999999</v>
      </c>
      <c r="F273" s="1">
        <v>2.9</v>
      </c>
      <c r="G273" s="2">
        <f>47*10^5</f>
        <v>4700000</v>
      </c>
      <c r="H273" s="2">
        <f>43*10^5</f>
        <v>4300000</v>
      </c>
      <c r="I273" s="2">
        <f>99*10^3</f>
        <v>99000</v>
      </c>
      <c r="J273" s="2">
        <f>91*10^3</f>
        <v>91000</v>
      </c>
      <c r="K273" s="1">
        <f t="shared" si="12"/>
        <v>2.1063829787234041</v>
      </c>
      <c r="L273" s="1">
        <f>J273/H273*100</f>
        <v>2.1162790697674421</v>
      </c>
      <c r="M273" s="6">
        <v>196246.598266666</v>
      </c>
      <c r="N273" s="1">
        <f>G273*10^4*M273/C273</f>
        <v>19582993882.236309</v>
      </c>
      <c r="O273" s="1">
        <f>H273*10^4*M273/C273</f>
        <v>17916356105.024708</v>
      </c>
      <c r="P273" s="1">
        <f>I273*10000*M273/C273</f>
        <v>412492849.85987121</v>
      </c>
      <c r="Q273" s="1">
        <f>J273*10000*M273/C273</f>
        <v>379160094.3156392</v>
      </c>
    </row>
    <row r="274" spans="1:17" ht="16" x14ac:dyDescent="0.25">
      <c r="A274" s="1" t="s">
        <v>61</v>
      </c>
      <c r="B274" s="1" t="s">
        <v>7</v>
      </c>
      <c r="C274" s="1">
        <v>64000</v>
      </c>
      <c r="D274" s="1">
        <v>13.1</v>
      </c>
      <c r="E274" s="1">
        <v>17.600000000000001</v>
      </c>
      <c r="F274" s="1">
        <v>0.6</v>
      </c>
      <c r="G274" s="2">
        <f>69*10^5</f>
        <v>6900000</v>
      </c>
      <c r="H274" s="2">
        <f>44*10^5</f>
        <v>4400000</v>
      </c>
      <c r="I274" s="2">
        <f>117*10^3</f>
        <v>117000</v>
      </c>
      <c r="J274" s="2">
        <f>101*10^3</f>
        <v>101000</v>
      </c>
      <c r="K274" s="1">
        <f t="shared" si="12"/>
        <v>1.6956521739130437</v>
      </c>
      <c r="L274" s="1">
        <f>J274/H274*100</f>
        <v>2.2954545454545454</v>
      </c>
      <c r="M274" s="6">
        <v>28106</v>
      </c>
      <c r="N274" s="1">
        <f>G274*10^4*M274/C274</f>
        <v>30301781250</v>
      </c>
      <c r="O274" s="1">
        <f>H274*10^4*M274/C274</f>
        <v>19322875000</v>
      </c>
      <c r="P274" s="1">
        <f>I274*10000*M274/C274</f>
        <v>513812812.5</v>
      </c>
      <c r="Q274" s="1">
        <f>J274*10000*M274/C274</f>
        <v>443547812.5</v>
      </c>
    </row>
    <row r="275" spans="1:17" ht="16" x14ac:dyDescent="0.25">
      <c r="A275" s="1" t="s">
        <v>61</v>
      </c>
      <c r="B275" s="1" t="s">
        <v>9</v>
      </c>
      <c r="C275" s="1">
        <v>55000</v>
      </c>
      <c r="D275" s="1">
        <v>12.9</v>
      </c>
      <c r="E275" s="1">
        <v>19.3</v>
      </c>
      <c r="F275" s="1">
        <v>1</v>
      </c>
      <c r="G275" s="2">
        <f>72*10^5</f>
        <v>7200000</v>
      </c>
      <c r="H275" s="2">
        <f>47*10^5</f>
        <v>4700000</v>
      </c>
      <c r="I275" s="2">
        <f>74*10^3</f>
        <v>74000</v>
      </c>
      <c r="J275" s="2">
        <f>73*10^3</f>
        <v>73000</v>
      </c>
      <c r="K275" s="1">
        <f t="shared" si="12"/>
        <v>1.0277777777777779</v>
      </c>
      <c r="L275" s="1">
        <f>J275/H275*100</f>
        <v>1.5531914893617023</v>
      </c>
      <c r="M275" s="6">
        <v>13304</v>
      </c>
      <c r="N275" s="1">
        <f>G275*10^4*M275/C275</f>
        <v>17416145454.545456</v>
      </c>
      <c r="O275" s="1">
        <f>H275*10^4*M275/C275</f>
        <v>11368872727.272728</v>
      </c>
      <c r="P275" s="1">
        <f>I275*10000*M275/C275</f>
        <v>178999272.72727272</v>
      </c>
      <c r="Q275" s="1">
        <f>J275*10000*M275/C275</f>
        <v>176580363.63636363</v>
      </c>
    </row>
    <row r="276" spans="1:17" x14ac:dyDescent="0.2">
      <c r="A276" s="1" t="s">
        <v>61</v>
      </c>
      <c r="B276" s="1" t="s">
        <v>10</v>
      </c>
      <c r="C276" s="1">
        <v>454000</v>
      </c>
      <c r="D276" s="1">
        <v>12.2</v>
      </c>
      <c r="E276" s="1">
        <v>28</v>
      </c>
      <c r="F276" s="1">
        <v>1.8</v>
      </c>
      <c r="G276" s="2">
        <f>44*10^5</f>
        <v>4400000</v>
      </c>
      <c r="H276" s="2">
        <f>43*10^5</f>
        <v>4300000</v>
      </c>
      <c r="I276" s="2">
        <f>108*10^3</f>
        <v>108000</v>
      </c>
      <c r="J276" s="2">
        <f>101*10^3</f>
        <v>101000</v>
      </c>
      <c r="K276" s="1">
        <f t="shared" si="12"/>
        <v>2.4545454545454546</v>
      </c>
      <c r="L276" s="1">
        <f>J276/H276*100</f>
        <v>2.3488372093023258</v>
      </c>
      <c r="M276" s="5">
        <v>121981</v>
      </c>
      <c r="N276" s="1">
        <f>G276*10^4*M276/C276</f>
        <v>11821947136.563877</v>
      </c>
      <c r="O276" s="1">
        <f>H276*10^4*M276/C276</f>
        <v>11553266519.823788</v>
      </c>
      <c r="P276" s="1">
        <f>I276*10000*M276/C276</f>
        <v>290175066.07929516</v>
      </c>
      <c r="Q276" s="1">
        <f>J276*10000*M276/C276</f>
        <v>271367422.907489</v>
      </c>
    </row>
    <row r="277" spans="1:17" ht="16" x14ac:dyDescent="0.25">
      <c r="A277" s="1" t="s">
        <v>61</v>
      </c>
      <c r="B277" s="1" t="s">
        <v>11</v>
      </c>
      <c r="C277" s="1">
        <v>62000</v>
      </c>
      <c r="D277" s="1">
        <v>11.3</v>
      </c>
      <c r="E277" s="1">
        <v>35.299999999999997</v>
      </c>
      <c r="F277" s="1">
        <v>2.4</v>
      </c>
      <c r="G277" s="2">
        <f>47*10^5</f>
        <v>4700000</v>
      </c>
      <c r="H277" s="2">
        <f>46*10^5</f>
        <v>4600000</v>
      </c>
      <c r="I277" s="2">
        <f>59*10^3</f>
        <v>59000</v>
      </c>
      <c r="J277" s="2">
        <f>54*10^3</f>
        <v>54000</v>
      </c>
      <c r="K277" s="1">
        <f t="shared" si="12"/>
        <v>1.2553191489361701</v>
      </c>
      <c r="L277" s="1">
        <f>J277/H277*100</f>
        <v>1.1739130434782608</v>
      </c>
      <c r="M277" s="6">
        <v>26026</v>
      </c>
      <c r="N277" s="1">
        <f>G277*10^4*M277/C277</f>
        <v>19729387096.774193</v>
      </c>
      <c r="O277" s="1">
        <f>H277*10^4*M277/C277</f>
        <v>19309612903.225807</v>
      </c>
      <c r="P277" s="1">
        <f>I277*10000*M277/C277</f>
        <v>247666774.19354838</v>
      </c>
      <c r="Q277" s="1">
        <f>J277*10000*M277/C277</f>
        <v>226678064.51612905</v>
      </c>
    </row>
    <row r="278" spans="1:17" ht="16" x14ac:dyDescent="0.25">
      <c r="A278" s="1" t="s">
        <v>62</v>
      </c>
      <c r="B278" s="1" t="s">
        <v>12</v>
      </c>
      <c r="C278" s="1">
        <v>124000</v>
      </c>
      <c r="D278" s="1">
        <v>13.1</v>
      </c>
      <c r="E278" s="1">
        <v>0.5</v>
      </c>
      <c r="F278" s="1">
        <v>0.5</v>
      </c>
      <c r="G278" s="2">
        <f>19*10^5</f>
        <v>1900000</v>
      </c>
      <c r="H278" s="2">
        <f>13*10^5</f>
        <v>1300000</v>
      </c>
      <c r="I278" s="2">
        <f>52*10^3</f>
        <v>52000</v>
      </c>
      <c r="J278" s="2">
        <f>45*10^3</f>
        <v>45000</v>
      </c>
      <c r="K278" s="1">
        <f t="shared" si="12"/>
        <v>2.736842105263158</v>
      </c>
      <c r="L278" s="1">
        <f>J278/H278*100</f>
        <v>3.4615384615384617</v>
      </c>
      <c r="M278" s="6">
        <v>42710</v>
      </c>
      <c r="N278" s="1">
        <f>G278*10^4*M278/C278</f>
        <v>6544274193.5483875</v>
      </c>
      <c r="O278" s="1">
        <f>H278*10^4*M278/C278</f>
        <v>4477661290.3225803</v>
      </c>
      <c r="P278" s="1">
        <f>I278*10000*M278/C278</f>
        <v>179106451.61290324</v>
      </c>
      <c r="Q278" s="1">
        <f>J278*10000*M278/C278</f>
        <v>154995967.74193549</v>
      </c>
    </row>
    <row r="279" spans="1:17" ht="16" x14ac:dyDescent="0.25">
      <c r="A279" s="1" t="s">
        <v>62</v>
      </c>
      <c r="B279" s="1" t="s">
        <v>32</v>
      </c>
      <c r="C279" s="1">
        <v>471000</v>
      </c>
      <c r="D279" s="1">
        <v>12.8</v>
      </c>
      <c r="E279" s="1">
        <v>0.5</v>
      </c>
      <c r="F279" s="1">
        <v>0.3</v>
      </c>
      <c r="G279" s="2">
        <f>103*10^5</f>
        <v>10300000</v>
      </c>
      <c r="H279" s="2">
        <f>89*10^5</f>
        <v>8900000</v>
      </c>
      <c r="I279" s="2">
        <f>135*10^3</f>
        <v>135000</v>
      </c>
      <c r="J279" s="2">
        <f>132*10^3</f>
        <v>132000</v>
      </c>
      <c r="K279" s="1">
        <f t="shared" si="12"/>
        <v>1.3106796116504855</v>
      </c>
      <c r="L279" s="1">
        <f>J279/H279*100</f>
        <v>1.4831460674157304</v>
      </c>
      <c r="M279" s="6">
        <v>139953.84936666599</v>
      </c>
      <c r="N279" s="1">
        <f>G279*10^4*M279/C279</f>
        <v>30605618863.623352</v>
      </c>
      <c r="O279" s="1">
        <f>H279*10^4*M279/C279</f>
        <v>26445631833.616295</v>
      </c>
      <c r="P279" s="1">
        <f>I279*10000*M279/C279</f>
        <v>401141606.46496624</v>
      </c>
      <c r="Q279" s="1">
        <f>J279*10000*M279/C279</f>
        <v>392227348.54352254</v>
      </c>
    </row>
    <row r="280" spans="1:17" x14ac:dyDescent="0.2">
      <c r="A280" s="1" t="s">
        <v>62</v>
      </c>
      <c r="B280" s="1" t="s">
        <v>7</v>
      </c>
      <c r="C280" s="1">
        <v>64000</v>
      </c>
      <c r="D280" s="1">
        <v>12.6</v>
      </c>
      <c r="E280" s="1">
        <v>0.1</v>
      </c>
      <c r="F280" s="1">
        <v>0</v>
      </c>
      <c r="G280" s="2">
        <f>131*10^5</f>
        <v>13100000</v>
      </c>
      <c r="H280" s="2">
        <f>122*10^5</f>
        <v>12200000</v>
      </c>
      <c r="I280" s="2">
        <f>150*10^3</f>
        <v>150000</v>
      </c>
      <c r="J280" s="2">
        <f>132*10^3</f>
        <v>132000</v>
      </c>
      <c r="K280" s="1">
        <f t="shared" si="12"/>
        <v>1.1450381679389312</v>
      </c>
      <c r="L280" s="1">
        <f>J280/H280*100</f>
        <v>1.0819672131147542</v>
      </c>
      <c r="M280" s="5">
        <v>15111</v>
      </c>
      <c r="N280" s="1">
        <f>G280*10^4*M280/C280</f>
        <v>30930328125</v>
      </c>
      <c r="O280" s="1">
        <f>H280*10^4*M280/C280</f>
        <v>28805343750</v>
      </c>
      <c r="P280" s="1">
        <f>I280*10000*M280/C280</f>
        <v>354164062.5</v>
      </c>
      <c r="Q280" s="1">
        <f>J280*10000*M280/C280</f>
        <v>311664375</v>
      </c>
    </row>
    <row r="281" spans="1:17" x14ac:dyDescent="0.2">
      <c r="A281" s="1" t="s">
        <v>62</v>
      </c>
      <c r="B281" s="1" t="s">
        <v>9</v>
      </c>
      <c r="C281" s="1">
        <v>55000</v>
      </c>
      <c r="D281" s="1">
        <v>13.2</v>
      </c>
      <c r="E281" s="1">
        <v>0</v>
      </c>
      <c r="F281" s="1">
        <v>0</v>
      </c>
      <c r="G281" s="2">
        <f>92*10^5</f>
        <v>9200000</v>
      </c>
      <c r="H281" s="2">
        <f>88*10^5</f>
        <v>8800000</v>
      </c>
      <c r="I281" s="2">
        <f>149*10^3</f>
        <v>149000</v>
      </c>
      <c r="J281" s="2">
        <f>147*10^3</f>
        <v>147000</v>
      </c>
      <c r="K281" s="1">
        <f t="shared" si="12"/>
        <v>1.6195652173913044</v>
      </c>
      <c r="L281" s="1">
        <f>J281/H281*100</f>
        <v>1.6704545454545454</v>
      </c>
      <c r="M281" s="5">
        <v>10411</v>
      </c>
      <c r="N281" s="1">
        <f>G281*10^4*M281/C281</f>
        <v>17414763636.363636</v>
      </c>
      <c r="O281" s="1">
        <f>H281*10^4*M281/C281</f>
        <v>16657600000</v>
      </c>
      <c r="P281" s="1">
        <f>I281*10000*M281/C281</f>
        <v>282043454.54545456</v>
      </c>
      <c r="Q281" s="1">
        <f>J281*10000*M281/C281</f>
        <v>278257636.36363637</v>
      </c>
    </row>
    <row r="282" spans="1:17" x14ac:dyDescent="0.2">
      <c r="A282" s="1" t="s">
        <v>62</v>
      </c>
      <c r="B282" s="1" t="s">
        <v>10</v>
      </c>
      <c r="C282" s="1">
        <v>454000</v>
      </c>
      <c r="D282" s="1">
        <v>13.3</v>
      </c>
      <c r="E282" s="1">
        <v>14.4</v>
      </c>
      <c r="F282" s="1">
        <v>1.2</v>
      </c>
      <c r="G282" s="2">
        <f>108*10^5</f>
        <v>10800000</v>
      </c>
      <c r="H282" s="2">
        <f>86*10^5</f>
        <v>8600000</v>
      </c>
      <c r="I282" s="2">
        <f>157*10^3</f>
        <v>157000</v>
      </c>
      <c r="J282" s="2">
        <f>154*10^3</f>
        <v>154000</v>
      </c>
      <c r="K282" s="1">
        <f t="shared" si="12"/>
        <v>1.4537037037037037</v>
      </c>
      <c r="L282" s="1">
        <f>J282/H282*100</f>
        <v>1.7906976744186047</v>
      </c>
      <c r="M282" s="5">
        <v>152399</v>
      </c>
      <c r="N282" s="1">
        <f>G282*10^4*M282/C282</f>
        <v>36253506607.929512</v>
      </c>
      <c r="O282" s="1">
        <f>H282*10^4*M282/C282</f>
        <v>28868533039.647575</v>
      </c>
      <c r="P282" s="1">
        <f>I282*10000*M282/C282</f>
        <v>527018568.28193831</v>
      </c>
      <c r="Q282" s="1">
        <f>J282*10000*M282/C282</f>
        <v>516948149.77973568</v>
      </c>
    </row>
    <row r="283" spans="1:17" x14ac:dyDescent="0.2">
      <c r="A283" s="1" t="s">
        <v>62</v>
      </c>
      <c r="B283" s="1" t="s">
        <v>11</v>
      </c>
      <c r="C283" s="1">
        <v>62000</v>
      </c>
      <c r="D283" s="1">
        <v>12.6</v>
      </c>
      <c r="E283" s="1">
        <v>3.3</v>
      </c>
      <c r="F283" s="1">
        <v>0.8</v>
      </c>
      <c r="G283" s="2">
        <f>82*10^5</f>
        <v>8200000</v>
      </c>
      <c r="H283" s="2">
        <f>79*10^5</f>
        <v>7900000</v>
      </c>
      <c r="I283" s="2">
        <f>83*10^3</f>
        <v>83000</v>
      </c>
      <c r="J283" s="2">
        <f>82*10^3</f>
        <v>82000</v>
      </c>
      <c r="K283" s="1">
        <f t="shared" si="12"/>
        <v>1.0121951219512195</v>
      </c>
      <c r="L283" s="1">
        <f>J283/H283*100</f>
        <v>1.0379746835443038</v>
      </c>
      <c r="M283" s="5">
        <v>21817</v>
      </c>
      <c r="N283" s="1">
        <f>G283*10^4*M283/C283</f>
        <v>28854741935.483871</v>
      </c>
      <c r="O283" s="1">
        <f>H283*10^4*M283/C283</f>
        <v>27799080645.161289</v>
      </c>
      <c r="P283" s="1">
        <f>I283*10000*M283/C283</f>
        <v>292066290.32258064</v>
      </c>
      <c r="Q283" s="1">
        <f>J283*10000*M283/C283</f>
        <v>288547419.35483873</v>
      </c>
    </row>
    <row r="284" spans="1:17" x14ac:dyDescent="0.2">
      <c r="A284" s="1" t="s">
        <v>63</v>
      </c>
      <c r="B284" s="1" t="s">
        <v>12</v>
      </c>
      <c r="C284" s="1">
        <v>124000</v>
      </c>
      <c r="D284" s="1">
        <v>9.8000000000000007</v>
      </c>
      <c r="E284" s="1">
        <v>0</v>
      </c>
      <c r="F284" s="1">
        <v>0</v>
      </c>
      <c r="G284" s="2">
        <f>28*10^5</f>
        <v>2800000</v>
      </c>
      <c r="H284" s="2">
        <f>23*10^5</f>
        <v>2300000</v>
      </c>
      <c r="I284" s="2">
        <f>43*10^3</f>
        <v>43000</v>
      </c>
      <c r="J284" s="2">
        <f>38*10^3</f>
        <v>38000</v>
      </c>
      <c r="K284" s="1">
        <f t="shared" si="12"/>
        <v>1.5357142857142858</v>
      </c>
      <c r="L284" s="1">
        <f>J284/H284*100</f>
        <v>1.652173913043478</v>
      </c>
      <c r="M284" s="5">
        <v>46432</v>
      </c>
      <c r="N284" s="1">
        <f>G284*10^4*M284/C284</f>
        <v>10484645161.290323</v>
      </c>
      <c r="O284" s="1">
        <f>H284*10^4*M284/C284</f>
        <v>8612387096.7741928</v>
      </c>
      <c r="P284" s="1">
        <f>I284*10000*M284/C284</f>
        <v>161014193.54838711</v>
      </c>
      <c r="Q284" s="1">
        <f>J284*10000*M284/C284</f>
        <v>142291612.90322581</v>
      </c>
    </row>
    <row r="285" spans="1:17" x14ac:dyDescent="0.2">
      <c r="A285" s="1" t="s">
        <v>63</v>
      </c>
      <c r="B285" s="1" t="s">
        <v>32</v>
      </c>
      <c r="C285" s="1">
        <v>471000</v>
      </c>
      <c r="D285" s="1">
        <v>7.2</v>
      </c>
      <c r="E285" s="1">
        <v>6.2</v>
      </c>
      <c r="F285" s="1">
        <v>1.6</v>
      </c>
      <c r="G285" s="2">
        <f>76*10^5</f>
        <v>7600000</v>
      </c>
      <c r="H285" s="2">
        <f>69*10^5</f>
        <v>6900000</v>
      </c>
      <c r="I285" s="2">
        <f>108*10^3</f>
        <v>108000</v>
      </c>
      <c r="J285" s="2">
        <f>105*10^3</f>
        <v>105000</v>
      </c>
      <c r="K285" s="1">
        <f t="shared" si="12"/>
        <v>1.4210526315789473</v>
      </c>
      <c r="L285" s="1">
        <f>J285/H285*100</f>
        <v>1.5217391304347827</v>
      </c>
      <c r="M285" s="5">
        <v>138830.31723333299</v>
      </c>
      <c r="N285" s="1">
        <f>G285*10^4*M285/C285</f>
        <v>22401494925.123791</v>
      </c>
      <c r="O285" s="1">
        <f>H285*10^4*M285/C285</f>
        <v>20338199339.915024</v>
      </c>
      <c r="P285" s="1">
        <f>I285*10000*M285/C285</f>
        <v>318337033.146496</v>
      </c>
      <c r="Q285" s="1">
        <f>J285*10000*M285/C285</f>
        <v>309494337.78131557</v>
      </c>
    </row>
    <row r="286" spans="1:17" x14ac:dyDescent="0.2">
      <c r="A286" s="1" t="s">
        <v>63</v>
      </c>
      <c r="B286" s="1" t="s">
        <v>7</v>
      </c>
      <c r="C286" s="1">
        <v>64000</v>
      </c>
      <c r="D286" s="1">
        <v>7.7</v>
      </c>
      <c r="E286" s="1">
        <v>1.8</v>
      </c>
      <c r="F286" s="1">
        <v>0</v>
      </c>
      <c r="G286" s="2">
        <f>92*10^5</f>
        <v>9200000</v>
      </c>
      <c r="H286" s="2">
        <f>88*10^5</f>
        <v>8800000</v>
      </c>
      <c r="I286" s="2" t="s">
        <v>8</v>
      </c>
      <c r="J286" s="2" t="s">
        <v>8</v>
      </c>
      <c r="K286" s="1" t="s">
        <v>8</v>
      </c>
      <c r="L286" s="1" t="s">
        <v>8</v>
      </c>
      <c r="M286" s="5">
        <v>15863</v>
      </c>
      <c r="N286" s="1">
        <f>G286*10^4*M286/C286</f>
        <v>22803062500</v>
      </c>
      <c r="O286" s="1">
        <f>H286*10^4*M286/C286</f>
        <v>21811625000</v>
      </c>
      <c r="P286" s="1" t="s">
        <v>8</v>
      </c>
      <c r="Q286" s="1" t="s">
        <v>8</v>
      </c>
    </row>
    <row r="287" spans="1:17" x14ac:dyDescent="0.2">
      <c r="A287" s="1" t="s">
        <v>63</v>
      </c>
      <c r="B287" s="1" t="s">
        <v>9</v>
      </c>
      <c r="C287" s="1">
        <v>55000</v>
      </c>
      <c r="D287" s="1">
        <v>11.5</v>
      </c>
      <c r="E287" s="1">
        <v>0</v>
      </c>
      <c r="F287" s="1">
        <v>0</v>
      </c>
      <c r="G287" s="2">
        <f>111*10^5</f>
        <v>11100000</v>
      </c>
      <c r="H287" s="2">
        <f>104*10^5</f>
        <v>10400000</v>
      </c>
      <c r="I287" s="2">
        <f>126*10^3</f>
        <v>126000</v>
      </c>
      <c r="J287" s="2">
        <f>112*10^3</f>
        <v>112000</v>
      </c>
      <c r="K287" s="1">
        <f t="shared" ref="K287:K290" si="13">I287/G287*100</f>
        <v>1.1351351351351351</v>
      </c>
      <c r="L287" s="1">
        <f>J287/H287*100</f>
        <v>1.0769230769230769</v>
      </c>
      <c r="M287" s="5">
        <v>10557</v>
      </c>
      <c r="N287" s="1">
        <f>G287*10^4*M287/C287</f>
        <v>21305945454.545456</v>
      </c>
      <c r="O287" s="1">
        <f>H287*10^4*M287/C287</f>
        <v>19962327272.727272</v>
      </c>
      <c r="P287" s="1">
        <f>I287*10000*M287/C287</f>
        <v>241851272.72727272</v>
      </c>
      <c r="Q287" s="1">
        <f>J287*10000*M287/C287</f>
        <v>214978909.09090909</v>
      </c>
    </row>
    <row r="288" spans="1:17" x14ac:dyDescent="0.2">
      <c r="A288" s="1" t="s">
        <v>63</v>
      </c>
      <c r="B288" s="1" t="s">
        <v>10</v>
      </c>
      <c r="C288" s="1">
        <v>454000</v>
      </c>
      <c r="D288" s="1">
        <v>10.7</v>
      </c>
      <c r="E288" s="1">
        <v>13.5</v>
      </c>
      <c r="F288" s="1">
        <v>13.4</v>
      </c>
      <c r="G288" s="2">
        <f>70*10^5</f>
        <v>7000000</v>
      </c>
      <c r="H288" s="2">
        <f>66*10^5</f>
        <v>6600000</v>
      </c>
      <c r="I288" s="2">
        <f>108*10^3</f>
        <v>108000</v>
      </c>
      <c r="J288" s="2">
        <f>108*10^3</f>
        <v>108000</v>
      </c>
      <c r="K288" s="1">
        <f t="shared" si="13"/>
        <v>1.5428571428571429</v>
      </c>
      <c r="L288" s="1">
        <f>J288/H288*100</f>
        <v>1.6363636363636365</v>
      </c>
      <c r="M288" s="5">
        <v>184399</v>
      </c>
      <c r="N288" s="1">
        <f>G288*10^4*M288/C288</f>
        <v>28431563876.651981</v>
      </c>
      <c r="O288" s="1">
        <f>H288*10^4*M288/C288</f>
        <v>26806903083.700439</v>
      </c>
      <c r="P288" s="1">
        <f>I288*10000*M288/C288</f>
        <v>438658414.09691632</v>
      </c>
      <c r="Q288" s="1">
        <f>J288*10000*M288/C288</f>
        <v>438658414.09691632</v>
      </c>
    </row>
    <row r="289" spans="1:17" x14ac:dyDescent="0.2">
      <c r="A289" s="1" t="s">
        <v>63</v>
      </c>
      <c r="B289" s="1" t="s">
        <v>11</v>
      </c>
      <c r="C289" s="1">
        <v>62000</v>
      </c>
      <c r="D289" s="1">
        <v>7.9</v>
      </c>
      <c r="E289" s="1">
        <v>3.7</v>
      </c>
      <c r="F289" s="1">
        <v>3.6</v>
      </c>
      <c r="G289" s="2">
        <f>59*10^5</f>
        <v>5900000</v>
      </c>
      <c r="H289" s="2">
        <f>49*10^5</f>
        <v>4900000</v>
      </c>
      <c r="I289" s="2">
        <f>75*10^3</f>
        <v>75000</v>
      </c>
      <c r="J289" s="2">
        <f>61*10^3</f>
        <v>61000</v>
      </c>
      <c r="K289" s="1">
        <f t="shared" si="13"/>
        <v>1.2711864406779663</v>
      </c>
      <c r="L289" s="1">
        <f>J289/H289*100</f>
        <v>1.2448979591836735</v>
      </c>
      <c r="M289" s="5">
        <v>18949</v>
      </c>
      <c r="N289" s="1">
        <f>G289*10^4*M289/C289</f>
        <v>18032112903.225807</v>
      </c>
      <c r="O289" s="1">
        <f>H289*10^4*M289/C289</f>
        <v>14975822580.645161</v>
      </c>
      <c r="P289" s="1">
        <f>I289*10000*M289/C289</f>
        <v>229221774.19354838</v>
      </c>
      <c r="Q289" s="1">
        <f>J289*10000*M289/C289</f>
        <v>186433709.67741936</v>
      </c>
    </row>
    <row r="290" spans="1:17" ht="16" x14ac:dyDescent="0.25">
      <c r="A290" s="1" t="s">
        <v>64</v>
      </c>
      <c r="B290" s="1" t="s">
        <v>12</v>
      </c>
      <c r="C290" s="1">
        <v>124000</v>
      </c>
      <c r="D290" s="1">
        <v>7.8</v>
      </c>
      <c r="E290" s="1">
        <v>15.4</v>
      </c>
      <c r="F290" s="1">
        <v>7.8</v>
      </c>
      <c r="G290" s="2">
        <f>14*10^5</f>
        <v>1400000</v>
      </c>
      <c r="H290" s="2">
        <f>8*10^5</f>
        <v>800000</v>
      </c>
      <c r="I290" s="2">
        <f>35*10^3</f>
        <v>35000</v>
      </c>
      <c r="J290" s="2">
        <f>22*10^3</f>
        <v>22000</v>
      </c>
      <c r="K290" s="1">
        <f t="shared" si="13"/>
        <v>2.5</v>
      </c>
      <c r="L290" s="1">
        <f>J290/H290*100</f>
        <v>2.75</v>
      </c>
      <c r="M290" s="6">
        <v>72092</v>
      </c>
      <c r="N290" s="1">
        <f>G290*10^4*M290/C290</f>
        <v>8139419354.8387098</v>
      </c>
      <c r="O290" s="1">
        <f>H290*10^4*M290/C290</f>
        <v>4651096774.1935482</v>
      </c>
      <c r="P290" s="1">
        <f>I290*10000*M290/C290</f>
        <v>203485483.87096775</v>
      </c>
      <c r="Q290" s="1">
        <f>J290*10000*M290/C290</f>
        <v>127905161.29032259</v>
      </c>
    </row>
    <row r="291" spans="1:17" x14ac:dyDescent="0.2">
      <c r="A291" s="1" t="s">
        <v>64</v>
      </c>
      <c r="B291" s="1" t="s">
        <v>32</v>
      </c>
      <c r="C291" s="1">
        <v>471000</v>
      </c>
      <c r="D291" s="1">
        <v>7.4</v>
      </c>
      <c r="E291" s="1">
        <v>6.7</v>
      </c>
      <c r="F291" s="1">
        <v>3.5</v>
      </c>
      <c r="G291" s="2" t="s">
        <v>8</v>
      </c>
      <c r="H291" s="2" t="s">
        <v>8</v>
      </c>
      <c r="I291" s="2">
        <f>125*10^3</f>
        <v>125000</v>
      </c>
      <c r="J291" s="2">
        <f>113*10^3</f>
        <v>113000</v>
      </c>
      <c r="K291" s="1" t="s">
        <v>8</v>
      </c>
      <c r="L291" s="1" t="s">
        <v>8</v>
      </c>
      <c r="M291" s="5">
        <v>146091.62541666601</v>
      </c>
      <c r="N291" s="1" t="s">
        <v>8</v>
      </c>
      <c r="O291" s="1" t="s">
        <v>8</v>
      </c>
      <c r="P291" s="1">
        <f>I291*10000*M291/C291</f>
        <v>387716627.96355098</v>
      </c>
      <c r="Q291" s="1">
        <f>J291*10000*M291/C291</f>
        <v>350495831.67905009</v>
      </c>
    </row>
    <row r="292" spans="1:17" x14ac:dyDescent="0.2">
      <c r="A292" s="1" t="s">
        <v>64</v>
      </c>
      <c r="B292" s="1" t="s">
        <v>7</v>
      </c>
      <c r="C292" s="1">
        <v>64000</v>
      </c>
      <c r="D292" s="1">
        <v>8.1999999999999993</v>
      </c>
      <c r="E292" s="1">
        <v>4.8</v>
      </c>
      <c r="F292" s="1">
        <v>2.4</v>
      </c>
      <c r="G292" s="2">
        <f>158*10^5</f>
        <v>15800000</v>
      </c>
      <c r="H292" s="2">
        <f>152*10^5</f>
        <v>15200000</v>
      </c>
      <c r="I292" s="2">
        <f>209*2*10^3</f>
        <v>418000</v>
      </c>
      <c r="J292" s="2">
        <f>207*2*10^3</f>
        <v>414000</v>
      </c>
      <c r="K292" s="1">
        <f t="shared" ref="K292:K296" si="14">I292/G292*100</f>
        <v>2.6455696202531644</v>
      </c>
      <c r="L292" s="1">
        <f>J292/H292*100</f>
        <v>2.7236842105263155</v>
      </c>
      <c r="M292" s="5">
        <v>17201</v>
      </c>
      <c r="N292" s="1">
        <f>G292*10^4*M292/C292</f>
        <v>42464968750</v>
      </c>
      <c r="O292" s="1">
        <f>H292*10^4*M292/C292</f>
        <v>40852375000</v>
      </c>
      <c r="P292" s="1">
        <f>I292*10000*M292/C292</f>
        <v>1123440312.5</v>
      </c>
      <c r="Q292" s="1">
        <f>J292*10000*M292/C292</f>
        <v>1112689687.5</v>
      </c>
    </row>
    <row r="293" spans="1:17" x14ac:dyDescent="0.2">
      <c r="A293" s="1" t="s">
        <v>64</v>
      </c>
      <c r="B293" s="1" t="s">
        <v>9</v>
      </c>
      <c r="C293" s="1">
        <v>55000</v>
      </c>
      <c r="D293" s="1">
        <v>9.8000000000000007</v>
      </c>
      <c r="E293" s="1">
        <v>0.4</v>
      </c>
      <c r="F293" s="1">
        <v>0.4</v>
      </c>
      <c r="G293" s="2">
        <f>95*10^5</f>
        <v>9500000</v>
      </c>
      <c r="H293" s="2">
        <f>91*10^5</f>
        <v>9100000</v>
      </c>
      <c r="I293" s="2">
        <f>78*10^3</f>
        <v>78000</v>
      </c>
      <c r="J293" s="2">
        <f>66*10^3</f>
        <v>66000</v>
      </c>
      <c r="K293" s="1">
        <f t="shared" si="14"/>
        <v>0.82105263157894737</v>
      </c>
      <c r="L293" s="1">
        <f>J293/H293*100</f>
        <v>0.72527472527472536</v>
      </c>
      <c r="M293" s="5">
        <v>10361</v>
      </c>
      <c r="N293" s="1">
        <f>G293*10^4*M293/C293</f>
        <v>17896272727.272728</v>
      </c>
      <c r="O293" s="1">
        <f>H293*10^4*M293/C293</f>
        <v>17142745454.545454</v>
      </c>
      <c r="P293" s="1">
        <f>I293*10000*M293/C293</f>
        <v>146937818.18181819</v>
      </c>
      <c r="Q293" s="1">
        <f>J293*10000*M293/C293</f>
        <v>124332000</v>
      </c>
    </row>
    <row r="294" spans="1:17" x14ac:dyDescent="0.2">
      <c r="A294" s="1" t="s">
        <v>64</v>
      </c>
      <c r="B294" s="1" t="s">
        <v>10</v>
      </c>
      <c r="C294" s="1">
        <v>454000</v>
      </c>
      <c r="D294" s="1">
        <v>10.4</v>
      </c>
      <c r="E294" s="1">
        <v>21.3</v>
      </c>
      <c r="F294" s="1">
        <v>14.5</v>
      </c>
      <c r="G294" s="2">
        <f>78*10^5</f>
        <v>7800000</v>
      </c>
      <c r="H294" s="2">
        <f>60*10^5</f>
        <v>6000000</v>
      </c>
      <c r="I294" s="2">
        <f>91*10^3</f>
        <v>91000</v>
      </c>
      <c r="J294" s="2">
        <f>77*10^3</f>
        <v>77000</v>
      </c>
      <c r="K294" s="1">
        <f t="shared" si="14"/>
        <v>1.1666666666666667</v>
      </c>
      <c r="L294" s="1">
        <f>J294/H294*100</f>
        <v>1.2833333333333334</v>
      </c>
      <c r="M294" s="5">
        <v>257919</v>
      </c>
      <c r="N294" s="1">
        <f>G294*10^4*M294/C294</f>
        <v>44312074889.867844</v>
      </c>
      <c r="O294" s="1">
        <f>H294*10^4*M294/C294</f>
        <v>34086211453.744492</v>
      </c>
      <c r="P294" s="1">
        <f>I294*10000*M294/C294</f>
        <v>516974207.04845816</v>
      </c>
      <c r="Q294" s="1">
        <f>J294*10000*M294/C294</f>
        <v>437439713.65638769</v>
      </c>
    </row>
    <row r="295" spans="1:17" x14ac:dyDescent="0.2">
      <c r="A295" s="1" t="s">
        <v>64</v>
      </c>
      <c r="B295" s="1" t="s">
        <v>11</v>
      </c>
      <c r="C295" s="1">
        <v>62000</v>
      </c>
      <c r="D295" s="1">
        <v>8.3000000000000007</v>
      </c>
      <c r="E295" s="1">
        <v>9.5</v>
      </c>
      <c r="F295" s="1">
        <v>8.4</v>
      </c>
      <c r="G295" s="2">
        <f>63*10^5</f>
        <v>6300000</v>
      </c>
      <c r="H295" s="2">
        <f>55*10^5</f>
        <v>5500000</v>
      </c>
      <c r="I295" s="2">
        <f>69*10^3</f>
        <v>69000</v>
      </c>
      <c r="J295" s="2">
        <f>59*10^3</f>
        <v>59000</v>
      </c>
      <c r="K295" s="1">
        <f t="shared" si="14"/>
        <v>1.0952380952380953</v>
      </c>
      <c r="L295" s="1">
        <f>J295/H295*100</f>
        <v>1.0727272727272728</v>
      </c>
      <c r="M295" s="5">
        <v>29519</v>
      </c>
      <c r="N295" s="1">
        <f>G295*10^4*M295/C295</f>
        <v>29995112903.225807</v>
      </c>
      <c r="O295" s="1">
        <f>H295*10^4*M295/C295</f>
        <v>26186209677.419353</v>
      </c>
      <c r="P295" s="1">
        <f>I295*10000*M295/C295</f>
        <v>328517903.22580647</v>
      </c>
      <c r="Q295" s="1">
        <f>J295*10000*M295/C295</f>
        <v>280906612.90322578</v>
      </c>
    </row>
    <row r="296" spans="1:17" x14ac:dyDescent="0.2">
      <c r="A296" s="1" t="s">
        <v>65</v>
      </c>
      <c r="B296" s="1" t="s">
        <v>12</v>
      </c>
      <c r="C296" s="1">
        <v>124000</v>
      </c>
      <c r="D296" s="1">
        <v>9.3000000000000007</v>
      </c>
      <c r="E296" s="1">
        <v>8.5</v>
      </c>
      <c r="F296" s="1">
        <v>0</v>
      </c>
      <c r="G296" s="2">
        <f>17*10^5</f>
        <v>1700000</v>
      </c>
      <c r="H296" s="2">
        <f>13*10^5</f>
        <v>1300000</v>
      </c>
      <c r="I296" s="2">
        <f>39*10^3</f>
        <v>39000</v>
      </c>
      <c r="J296" s="2">
        <f>25*10^3</f>
        <v>25000</v>
      </c>
      <c r="K296" s="1">
        <f t="shared" si="14"/>
        <v>2.2941176470588234</v>
      </c>
      <c r="L296" s="1">
        <f>J296/H296*100</f>
        <v>1.9230769230769231</v>
      </c>
      <c r="M296" s="5">
        <v>47932</v>
      </c>
      <c r="N296" s="1">
        <f>G296*10^4*M296/C296</f>
        <v>6571322580.6451616</v>
      </c>
      <c r="O296" s="1">
        <f>H296*10^4*M296/C296</f>
        <v>5025129032.2580643</v>
      </c>
      <c r="P296" s="1">
        <f>I296*10000*M296/C296</f>
        <v>150753870.96774194</v>
      </c>
      <c r="Q296" s="1">
        <f>J296*10000*M296/C296</f>
        <v>96637096.774193555</v>
      </c>
    </row>
    <row r="297" spans="1:17" x14ac:dyDescent="0.2">
      <c r="A297" s="1" t="s">
        <v>65</v>
      </c>
      <c r="B297" s="1" t="s">
        <v>32</v>
      </c>
      <c r="C297" s="1">
        <v>471000</v>
      </c>
      <c r="D297" s="1">
        <v>6.4</v>
      </c>
      <c r="E297" s="1">
        <v>5.8</v>
      </c>
      <c r="F297" s="1">
        <v>0</v>
      </c>
      <c r="G297" s="2" t="s">
        <v>8</v>
      </c>
      <c r="H297" s="2" t="s">
        <v>8</v>
      </c>
      <c r="I297" s="2">
        <f>112*10^3</f>
        <v>112000</v>
      </c>
      <c r="J297" s="2">
        <f>109*10^3</f>
        <v>109000</v>
      </c>
      <c r="K297" s="1" t="s">
        <v>8</v>
      </c>
      <c r="L297" s="1" t="s">
        <v>8</v>
      </c>
      <c r="M297" s="5">
        <v>170865.69575000001</v>
      </c>
      <c r="N297" s="1" t="s">
        <v>8</v>
      </c>
      <c r="O297" s="1" t="s">
        <v>8</v>
      </c>
      <c r="P297" s="1">
        <f>I297*10000*M297/C297</f>
        <v>406304839.15074313</v>
      </c>
      <c r="Q297" s="1">
        <f>J297*10000*M297/C297</f>
        <v>395421673.8163482</v>
      </c>
    </row>
    <row r="298" spans="1:17" x14ac:dyDescent="0.2">
      <c r="A298" s="1" t="s">
        <v>65</v>
      </c>
      <c r="B298" s="1" t="s">
        <v>7</v>
      </c>
      <c r="C298" s="1">
        <v>64000</v>
      </c>
      <c r="D298" s="1">
        <v>6.8</v>
      </c>
      <c r="E298" s="1">
        <v>3.1</v>
      </c>
      <c r="F298" s="1">
        <v>0.1</v>
      </c>
      <c r="G298" s="2">
        <f>97*10^5</f>
        <v>9700000</v>
      </c>
      <c r="H298" s="2">
        <f>95*10^5</f>
        <v>9500000</v>
      </c>
      <c r="I298" s="2">
        <f>102*10^3</f>
        <v>102000</v>
      </c>
      <c r="J298" s="2">
        <f>94*10^3</f>
        <v>94000</v>
      </c>
      <c r="K298" s="1">
        <f t="shared" ref="K298:K301" si="15">I298/G298*100</f>
        <v>1.0515463917525774</v>
      </c>
      <c r="L298" s="1">
        <f>J298/H298*100</f>
        <v>0.98947368421052639</v>
      </c>
      <c r="M298" s="5">
        <v>19482</v>
      </c>
      <c r="N298" s="1">
        <f>G298*10^4*M298/C298</f>
        <v>29527406250</v>
      </c>
      <c r="O298" s="1">
        <f>H298*10^4*M298/C298</f>
        <v>28918593750</v>
      </c>
      <c r="P298" s="1">
        <f>I298*10000*M298/C298</f>
        <v>310494375</v>
      </c>
      <c r="Q298" s="1">
        <f>J298*10000*M298/C298</f>
        <v>286141875</v>
      </c>
    </row>
    <row r="299" spans="1:17" x14ac:dyDescent="0.2">
      <c r="A299" s="1" t="s">
        <v>65</v>
      </c>
      <c r="B299" s="1" t="s">
        <v>9</v>
      </c>
      <c r="C299" s="1">
        <v>55000</v>
      </c>
      <c r="D299" s="1">
        <v>5.5</v>
      </c>
      <c r="E299" s="1">
        <v>4.4000000000000004</v>
      </c>
      <c r="F299" s="1">
        <v>0.2</v>
      </c>
      <c r="G299" s="2">
        <f>100*10^5</f>
        <v>10000000</v>
      </c>
      <c r="H299" s="2">
        <f>97*10^5</f>
        <v>9700000</v>
      </c>
      <c r="I299" s="2">
        <f>80*10^3</f>
        <v>80000</v>
      </c>
      <c r="J299" s="2">
        <f>63*10^3</f>
        <v>63000</v>
      </c>
      <c r="K299" s="1">
        <f t="shared" si="15"/>
        <v>0.8</v>
      </c>
      <c r="L299" s="1">
        <f>J299/H299*100</f>
        <v>0.64948453608247425</v>
      </c>
      <c r="M299" s="5">
        <v>12517</v>
      </c>
      <c r="N299" s="1">
        <f>G299*10^4*M299/C299</f>
        <v>22758181818.18182</v>
      </c>
      <c r="O299" s="1">
        <f>H299*10^4*M299/C299</f>
        <v>22075436363.636364</v>
      </c>
      <c r="P299" s="1">
        <f>I299*10000*M299/C299</f>
        <v>182065454.54545453</v>
      </c>
      <c r="Q299" s="1">
        <f>J299*10000*M299/C299</f>
        <v>143376545.45454547</v>
      </c>
    </row>
    <row r="300" spans="1:17" x14ac:dyDescent="0.2">
      <c r="A300" s="1" t="s">
        <v>65</v>
      </c>
      <c r="B300" s="1" t="s">
        <v>10</v>
      </c>
      <c r="C300" s="1">
        <v>454000</v>
      </c>
      <c r="D300" s="1">
        <v>6.1</v>
      </c>
      <c r="E300" s="1">
        <v>8.6999999999999993</v>
      </c>
      <c r="F300" s="1">
        <v>0.1</v>
      </c>
      <c r="G300" s="2">
        <f>66*10^5</f>
        <v>6600000</v>
      </c>
      <c r="H300" s="2">
        <f>62*10^5</f>
        <v>6200000</v>
      </c>
      <c r="I300" s="2">
        <f>102*10^3</f>
        <v>102000</v>
      </c>
      <c r="J300" s="2">
        <f>88*10^3</f>
        <v>88000</v>
      </c>
      <c r="K300" s="1">
        <f t="shared" si="15"/>
        <v>1.5454545454545454</v>
      </c>
      <c r="L300" s="1">
        <f>J300/H300*100</f>
        <v>1.4193548387096775</v>
      </c>
      <c r="M300" s="5">
        <v>139863</v>
      </c>
      <c r="N300" s="1">
        <f>G300*10^4*M300/C300</f>
        <v>20332506607.929516</v>
      </c>
      <c r="O300" s="1">
        <f>H300*10^4*M300/C300</f>
        <v>19100233480.176212</v>
      </c>
      <c r="P300" s="1">
        <f>I300*10000*M300/C300</f>
        <v>314229647.57709253</v>
      </c>
      <c r="Q300" s="1">
        <f>J300*10000*M300/C300</f>
        <v>271100088.1057269</v>
      </c>
    </row>
    <row r="301" spans="1:17" x14ac:dyDescent="0.2">
      <c r="A301" s="1" t="s">
        <v>65</v>
      </c>
      <c r="B301" s="1" t="s">
        <v>11</v>
      </c>
      <c r="C301" s="1">
        <v>62000</v>
      </c>
      <c r="D301" s="1">
        <v>5.7</v>
      </c>
      <c r="E301" s="1">
        <v>6.5</v>
      </c>
      <c r="F301" s="1">
        <v>0</v>
      </c>
      <c r="G301" s="2">
        <f>101*10^5</f>
        <v>10100000</v>
      </c>
      <c r="H301" s="2">
        <f>94*10^5</f>
        <v>9400000</v>
      </c>
      <c r="I301" s="2">
        <f>100*10^3</f>
        <v>100000</v>
      </c>
      <c r="J301" s="2">
        <f>87*10^3</f>
        <v>87000</v>
      </c>
      <c r="K301" s="1">
        <f t="shared" si="15"/>
        <v>0.99009900990099009</v>
      </c>
      <c r="L301" s="1">
        <f>J301/H301*100</f>
        <v>0.92553191489361708</v>
      </c>
      <c r="M301" s="5">
        <v>19463</v>
      </c>
      <c r="N301" s="1">
        <f>G301*10^4*M301/C301</f>
        <v>31705854838.709679</v>
      </c>
      <c r="O301" s="1">
        <f>H301*10^4*M301/C301</f>
        <v>29508419354.838711</v>
      </c>
      <c r="P301" s="1">
        <f>I301*10000*M301/C301</f>
        <v>313919354.83870965</v>
      </c>
      <c r="Q301" s="1">
        <f>J301*10000*M301/C301</f>
        <v>273109838.7096774</v>
      </c>
    </row>
    <row r="302" spans="1:17" x14ac:dyDescent="0.2">
      <c r="A302" s="1" t="s">
        <v>67</v>
      </c>
      <c r="B302" s="1" t="s">
        <v>12</v>
      </c>
      <c r="C302" s="1">
        <v>124000</v>
      </c>
      <c r="D302" s="1">
        <v>7.1</v>
      </c>
      <c r="E302" s="1">
        <v>0.4</v>
      </c>
      <c r="F302" s="1">
        <v>0</v>
      </c>
      <c r="G302" s="2">
        <f>44*10^5</f>
        <v>4400000</v>
      </c>
      <c r="H302" s="2">
        <f>40*10^5</f>
        <v>4000000</v>
      </c>
      <c r="I302" s="2">
        <f>121*10^3</f>
        <v>121000</v>
      </c>
      <c r="J302" s="2">
        <f>36*10^3</f>
        <v>36000</v>
      </c>
      <c r="K302" s="1">
        <f t="shared" ref="K302:K307" si="16">I302/G302*100</f>
        <v>2.75</v>
      </c>
      <c r="L302" s="1">
        <f>J302/H302*100</f>
        <v>0.89999999999999991</v>
      </c>
      <c r="M302" s="5">
        <v>40057</v>
      </c>
      <c r="N302" s="1">
        <f>G302*10^4*M302/C302</f>
        <v>14213774193.548388</v>
      </c>
      <c r="O302" s="1">
        <f>H302*10^4*M302/C302</f>
        <v>12921612903.225807</v>
      </c>
      <c r="P302" s="1">
        <f>I302*10000*M302/C302</f>
        <v>390878790.32258064</v>
      </c>
      <c r="Q302" s="1">
        <f>J302*10000*M302/C302</f>
        <v>116294516.12903225</v>
      </c>
    </row>
    <row r="303" spans="1:17" x14ac:dyDescent="0.2">
      <c r="A303" s="1" t="s">
        <v>67</v>
      </c>
      <c r="B303" s="1" t="s">
        <v>32</v>
      </c>
      <c r="C303" s="1">
        <v>471000</v>
      </c>
      <c r="D303" s="1">
        <v>6.4</v>
      </c>
      <c r="E303" s="1">
        <v>6.4</v>
      </c>
      <c r="F303" s="1">
        <v>6.4</v>
      </c>
      <c r="G303" s="2" t="s">
        <v>8</v>
      </c>
      <c r="H303" s="2" t="s">
        <v>8</v>
      </c>
      <c r="I303" s="2" t="s">
        <v>8</v>
      </c>
      <c r="J303" s="2" t="s">
        <v>8</v>
      </c>
      <c r="K303" s="1" t="s">
        <v>8</v>
      </c>
      <c r="L303" s="1" t="s">
        <v>8</v>
      </c>
      <c r="M303" s="5" t="s">
        <v>8</v>
      </c>
      <c r="N303" s="1" t="s">
        <v>8</v>
      </c>
      <c r="O303" s="1" t="s">
        <v>8</v>
      </c>
      <c r="P303" s="1" t="s">
        <v>8</v>
      </c>
      <c r="Q303" s="1" t="s">
        <v>8</v>
      </c>
    </row>
    <row r="304" spans="1:17" ht="16" x14ac:dyDescent="0.25">
      <c r="A304" s="1" t="s">
        <v>67</v>
      </c>
      <c r="B304" s="1" t="s">
        <v>7</v>
      </c>
      <c r="C304" s="1">
        <v>64000</v>
      </c>
      <c r="D304" s="1">
        <v>6.1</v>
      </c>
      <c r="E304" s="1">
        <v>12.7</v>
      </c>
      <c r="F304" s="1">
        <v>11.3</v>
      </c>
      <c r="G304" s="2">
        <f>72*10^5</f>
        <v>7200000</v>
      </c>
      <c r="H304" s="2">
        <f>57*10^5</f>
        <v>5700000</v>
      </c>
      <c r="I304" s="2">
        <f>72*10^3</f>
        <v>72000</v>
      </c>
      <c r="J304" s="2">
        <f>72*10^3</f>
        <v>72000</v>
      </c>
      <c r="K304" s="1">
        <f t="shared" si="16"/>
        <v>1</v>
      </c>
      <c r="L304" s="1">
        <f>J304/H304*100</f>
        <v>1.263157894736842</v>
      </c>
      <c r="M304" s="7">
        <v>37214</v>
      </c>
      <c r="N304" s="1">
        <f>G304*10^4*M304/C304</f>
        <v>41865750000</v>
      </c>
      <c r="O304" s="1">
        <f>H304*10^4*M304/C304</f>
        <v>33143718750</v>
      </c>
      <c r="P304" s="1">
        <f>I304*10000*M304/C304</f>
        <v>418657500</v>
      </c>
      <c r="Q304" s="1">
        <f>J304*10000*M304/C304</f>
        <v>418657500</v>
      </c>
    </row>
    <row r="305" spans="1:17" x14ac:dyDescent="0.2">
      <c r="A305" s="1" t="s">
        <v>67</v>
      </c>
      <c r="B305" s="1" t="s">
        <v>9</v>
      </c>
      <c r="C305" s="1">
        <v>55000</v>
      </c>
      <c r="D305" s="1">
        <v>5.4</v>
      </c>
      <c r="E305" s="1">
        <v>2.7</v>
      </c>
      <c r="F305" s="1">
        <v>2.4</v>
      </c>
      <c r="G305" s="2">
        <f>113*10^5</f>
        <v>11300000</v>
      </c>
      <c r="H305" s="2">
        <f>103*10^5</f>
        <v>10300000</v>
      </c>
      <c r="I305" s="2">
        <f>74*10^3</f>
        <v>74000</v>
      </c>
      <c r="J305" s="2">
        <f>69*10^3</f>
        <v>69000</v>
      </c>
      <c r="K305" s="1">
        <f t="shared" si="16"/>
        <v>0.65486725663716816</v>
      </c>
      <c r="L305" s="1">
        <f>J305/H305*100</f>
        <v>0.66990291262135926</v>
      </c>
      <c r="M305" s="5">
        <v>13763</v>
      </c>
      <c r="N305" s="1">
        <f>G305*10^4*M305/C305</f>
        <v>28276709090.909092</v>
      </c>
      <c r="O305" s="1">
        <f>H305*10^4*M305/C305</f>
        <v>25774345454.545456</v>
      </c>
      <c r="P305" s="1">
        <f>I305*10000*M305/C305</f>
        <v>185174909.09090909</v>
      </c>
      <c r="Q305" s="1">
        <f>J305*10000*M305/C305</f>
        <v>172663090.90909091</v>
      </c>
    </row>
    <row r="306" spans="1:17" x14ac:dyDescent="0.2">
      <c r="A306" s="1" t="s">
        <v>67</v>
      </c>
      <c r="B306" s="1" t="s">
        <v>10</v>
      </c>
      <c r="C306" s="1">
        <v>454000</v>
      </c>
      <c r="D306" s="1">
        <v>6</v>
      </c>
      <c r="E306" s="1">
        <v>4.9000000000000004</v>
      </c>
      <c r="F306" s="1">
        <v>2.9</v>
      </c>
      <c r="G306" s="2">
        <f>69*10^5</f>
        <v>6900000</v>
      </c>
      <c r="H306" s="2">
        <f>65*10^5</f>
        <v>6500000</v>
      </c>
      <c r="I306" s="2">
        <f>120*10^3</f>
        <v>120000</v>
      </c>
      <c r="J306" s="2">
        <f>120*10^3</f>
        <v>120000</v>
      </c>
      <c r="K306" s="1">
        <f t="shared" si="16"/>
        <v>1.7391304347826086</v>
      </c>
      <c r="L306" s="1">
        <f>J306/H306*100</f>
        <v>1.8461538461538463</v>
      </c>
      <c r="M306" s="5">
        <v>146156</v>
      </c>
      <c r="N306" s="1">
        <f>G306*10^4*M306/C306</f>
        <v>22213136563.876652</v>
      </c>
      <c r="O306" s="1">
        <f>H306*10^4*M306/C306</f>
        <v>20925418502.202644</v>
      </c>
      <c r="P306" s="1">
        <f>I306*10000*M306/C306</f>
        <v>386315418.50220263</v>
      </c>
      <c r="Q306" s="1">
        <f>J306*10000*M306/C306</f>
        <v>386315418.50220263</v>
      </c>
    </row>
    <row r="307" spans="1:17" x14ac:dyDescent="0.2">
      <c r="A307" s="1" t="s">
        <v>67</v>
      </c>
      <c r="B307" s="1" t="s">
        <v>11</v>
      </c>
      <c r="C307" s="1">
        <v>62000</v>
      </c>
      <c r="D307" s="1">
        <v>6</v>
      </c>
      <c r="E307" s="1">
        <v>3</v>
      </c>
      <c r="F307" s="1">
        <v>1.1000000000000001</v>
      </c>
      <c r="G307" s="2">
        <f>100*10^5</f>
        <v>10000000</v>
      </c>
      <c r="H307" s="2">
        <f>86*10^5</f>
        <v>8600000</v>
      </c>
      <c r="I307" s="2">
        <f>72*10^3</f>
        <v>72000</v>
      </c>
      <c r="J307" s="2">
        <f>62*10^3</f>
        <v>62000</v>
      </c>
      <c r="K307" s="1">
        <f t="shared" si="16"/>
        <v>0.72</v>
      </c>
      <c r="L307" s="1">
        <f>J307/H307*100</f>
        <v>0.72093023255813948</v>
      </c>
      <c r="M307" s="5">
        <v>20659</v>
      </c>
      <c r="N307" s="1">
        <f>G307*10^4*M307/C307</f>
        <v>33320967741.935482</v>
      </c>
      <c r="O307" s="1">
        <f>H307*10^4*M307/C307</f>
        <v>28656032258.064518</v>
      </c>
      <c r="P307" s="1">
        <f>I307*10000*M307/C307</f>
        <v>239910967.74193549</v>
      </c>
      <c r="Q307" s="1">
        <f>J307*10000*M307/C307</f>
        <v>206590000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E_coli_counts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Conforti, Sheena</dc:creator>
  <cp:lastModifiedBy>Conforti, Sheena</cp:lastModifiedBy>
  <dcterms:created xsi:type="dcterms:W3CDTF">2022-04-29T11:17:12Z</dcterms:created>
  <dcterms:modified xsi:type="dcterms:W3CDTF">2023-10-11T15:19:07Z</dcterms:modified>
</cp:coreProperties>
</file>