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ykytila"/>
    <sheet r:id="rId2" sheetId="2" name="Ruoka"/>
    <sheet r:id="rId3" sheetId="3" name="Liikenne"/>
    <sheet r:id="rId4" sheetId="4" name="Infra"/>
    <sheet r:id="rId5" sheetId="5" name="Kertoimet"/>
    <sheet r:id="rId6" sheetId="6" name="Yhteenveto Koulu"/>
    <sheet r:id="rId7" sheetId="7" name="Yhteenveto Oma"/>
  </sheets>
  <definedNames>
    <definedName name="_xlnm._FilterDatabase" localSheetId="2">Liikenne!$G$1:$G$271</definedName>
    <definedName name="_xlnm._FilterDatabase" localSheetId="6">'Yhteenveto Oma'!$G$29:$G$43</definedName>
    <definedName name="_xlchart.v1.0">'Yhteenveto Koulu'!$B$19</definedName>
    <definedName name="_xlchart.v1.1">('Yhteenveto Koulu'!$K$21:$N$30,'Yhteenveto Koulu'!$K$32:$N$40,'Yhteenveto Koulu'!$K$42:$N$46,'Yhteenveto Koulu'!$K$48:$N$52,'Yhteenveto Koulu'!$K$54:$N$63)</definedName>
    <definedName name="_xlchart.v1.2">('Yhteenveto Koulu'!$O$21:$O$30,'Yhteenveto Koulu'!$O$32:$O$40,'Yhteenveto Koulu'!$O$42:$O$46,'Yhteenveto Koulu'!$O$48:$O$52,'Yhteenveto Koulu'!$O$54:$O$63)</definedName>
    <definedName name="_xlchart.v1.3">'Yhteenveto Oma'!$B$28</definedName>
    <definedName name="_xlchart.v1.4">('Yhteenveto Oma'!$B$30:$E$33,'Yhteenveto Oma'!$B$35:$E$37,'Yhteenveto Oma'!$B$39:$D$43)</definedName>
    <definedName name="_xlchart.v1.5">('Yhteenveto Oma'!$G$30:$G$33,'Yhteenveto Oma'!$G$35:$G$37,'Yhteenveto Oma'!$G$39:$G$43)</definedName>
  </definedNames>
  <calcPr fullCalcOnLoad="1"/>
</workbook>
</file>

<file path=xl/sharedStrings.xml><?xml version="1.0" encoding="utf-8"?>
<sst xmlns="http://schemas.openxmlformats.org/spreadsheetml/2006/main" count="912" uniqueCount="433">
  <si>
    <t xml:space="preserve">         Koulujen hiilijalanjälkilaskuri - Laskentamalli 2022</t>
  </si>
  <si>
    <t>PÄIVÄN HIILIJALANJÄLKI</t>
  </si>
  <si>
    <t>Päivän päästöjakauma - Oma</t>
  </si>
  <si>
    <t>Liikkenne-osion hiilijalanjälki</t>
  </si>
  <si>
    <t>kgCO2e</t>
  </si>
  <si>
    <t>Liikenne</t>
  </si>
  <si>
    <t>Auto (Koulumatka)</t>
  </si>
  <si>
    <t>Julkinen (Koulumatka)</t>
  </si>
  <si>
    <t>Muut (Koulumatka)</t>
  </si>
  <si>
    <t>Kouluretket</t>
  </si>
  <si>
    <t>Ei</t>
  </si>
  <si>
    <t>Infrastuktuuri-osion päästöt per henkilö</t>
  </si>
  <si>
    <t>Infrastuktuuri</t>
  </si>
  <si>
    <t>Energiankulutus</t>
  </si>
  <si>
    <t>Jätteenkäsittely</t>
  </si>
  <si>
    <t>Hankinnat</t>
  </si>
  <si>
    <t>Ruoka-osion hiilijalanjälki</t>
  </si>
  <si>
    <t>Ruoka</t>
  </si>
  <si>
    <t>Proteiini</t>
  </si>
  <si>
    <t>Hiilihydraatit</t>
  </si>
  <si>
    <t>Lisäkkeet</t>
  </si>
  <si>
    <t>Juomat</t>
  </si>
  <si>
    <t>Biojätteen määrä</t>
  </si>
  <si>
    <t>Henkilökohtainen hiilijalanjälki per päivä</t>
  </si>
  <si>
    <t>Yksityskohtaisempia tietoja löytyy sivun alareunasta</t>
  </si>
  <si>
    <t>kgCO2e/pv</t>
  </si>
  <si>
    <t>Liikenne-osion hiilijalanjälki</t>
  </si>
  <si>
    <t>Infrastuktuuri-osion hiilijalanjälki</t>
  </si>
  <si>
    <t>Auto</t>
  </si>
  <si>
    <t>Muu ajoneuvo</t>
  </si>
  <si>
    <t>Jälkiruoka</t>
  </si>
  <si>
    <t>Julkinen</t>
  </si>
  <si>
    <t>Muut</t>
  </si>
  <si>
    <t>Biojäte</t>
  </si>
  <si>
    <t>Reissut</t>
  </si>
  <si>
    <t xml:space="preserve"> </t>
  </si>
  <si>
    <t>Koulu/Työreissut</t>
  </si>
  <si>
    <t>Lennot</t>
  </si>
  <si>
    <t>Lyhyet lennot, alle 463 km</t>
  </si>
  <si>
    <t>Pitkät lennot, kotimaa, yli 463 km</t>
  </si>
  <si>
    <t>Päivän päästöjakauma</t>
  </si>
  <si>
    <t>Pitkät lennot, ulkomaat, yli 463 km</t>
  </si>
  <si>
    <t>Kaukolennot, yli 3700 km</t>
  </si>
  <si>
    <t>Liharuoka</t>
  </si>
  <si>
    <t>Hotelliyöpymiset</t>
  </si>
  <si>
    <t>Kasvisruoka</t>
  </si>
  <si>
    <t>Joukkoliikenne</t>
  </si>
  <si>
    <t>kotimaa</t>
  </si>
  <si>
    <t>Vegaaninen ruoka</t>
  </si>
  <si>
    <t>ulkomaat</t>
  </si>
  <si>
    <t>Henkilöautot</t>
  </si>
  <si>
    <t>Vuokrabussi</t>
  </si>
  <si>
    <t>Taksi (koti- ja ulkomaat)</t>
  </si>
  <si>
    <t>Infra-osion hiilijalanjälki, Energia</t>
  </si>
  <si>
    <t>Sähkö</t>
  </si>
  <si>
    <t>Lämmitys</t>
  </si>
  <si>
    <t>Jäähdytys</t>
  </si>
  <si>
    <t>Infra-osion hiilijalanjälki, Hankinnat</t>
  </si>
  <si>
    <t>Energia</t>
  </si>
  <si>
    <t>IT/Laitteet</t>
  </si>
  <si>
    <t>Huonekalut</t>
  </si>
  <si>
    <t>ilmanvaihto</t>
  </si>
  <si>
    <t>Materiaalit</t>
  </si>
  <si>
    <t>keittiön sähkönkulutus</t>
  </si>
  <si>
    <t xml:space="preserve">Siivous </t>
  </si>
  <si>
    <t>Muut hankinnat</t>
  </si>
  <si>
    <t>Infra-osion hiilijalanjälki, Jätteenkäsittely</t>
  </si>
  <si>
    <t>Sekajäte</t>
  </si>
  <si>
    <t>Energiajäte</t>
  </si>
  <si>
    <t>Kartonki &amp; Pahvi</t>
  </si>
  <si>
    <t>Lasi</t>
  </si>
  <si>
    <t>Metalli</t>
  </si>
  <si>
    <t>Muovi</t>
  </si>
  <si>
    <t>Paperi</t>
  </si>
  <si>
    <t>Sähkölaiteet (kierrätykseen)</t>
  </si>
  <si>
    <t>Ongelmajäte</t>
  </si>
  <si>
    <t xml:space="preserve">Yksityskohtaisempia tietoja löytyy sivun alareunasta </t>
  </si>
  <si>
    <t>Lyhyet lennot</t>
  </si>
  <si>
    <t>Pitkät lennot, kotimaa</t>
  </si>
  <si>
    <t>Pitkät lennot, ulkomaa</t>
  </si>
  <si>
    <t>Kaukolennot</t>
  </si>
  <si>
    <t>Kotimaa</t>
  </si>
  <si>
    <t>Ulkomaat</t>
  </si>
  <si>
    <t>josta ilmanvaihto</t>
  </si>
  <si>
    <t>josta keittiön sähkönkulutus</t>
  </si>
  <si>
    <t xml:space="preserve">         Laskennassa käytettävät päästökertoimet</t>
  </si>
  <si>
    <t>Lähteet</t>
  </si>
  <si>
    <t>Tarkat lähdeviitteet löydät tämän sivun alaosasta.</t>
  </si>
  <si>
    <t>LIIKENNE</t>
  </si>
  <si>
    <t>Matkustamisen päästöihin on lisätty Syken ohjeistuksen ja Ilmastodieetin periaatteiden mukaisesti polttoaineketjun päästöt, n. 20%</t>
  </si>
  <si>
    <t>hkm = henkilökilometrit; km = ajoneuvokilometrit</t>
  </si>
  <si>
    <t>kgCO2e/hkm</t>
  </si>
  <si>
    <t>Lentämisen päästöihin on lisätty säteilypakoteindeksi (RFI) = 2 sekä polttoaineketjun päästöt +20 %.</t>
  </si>
  <si>
    <t>6 &amp; 7</t>
  </si>
  <si>
    <t xml:space="preserve"> VTT 2008, Jungbluth &amp; Meili 2018</t>
  </si>
  <si>
    <t>6, 7 &amp; 13</t>
  </si>
  <si>
    <t xml:space="preserve"> VTT 2008, Jungbluth &amp; Meili 2018, WWF 2020</t>
  </si>
  <si>
    <t>Henkilöautoliikenne</t>
  </si>
  <si>
    <t>kgCO2e/km</t>
  </si>
  <si>
    <t>Polttoaine ei tiedossa</t>
  </si>
  <si>
    <t>8 &amp; 1</t>
  </si>
  <si>
    <t>VTT 2017, Salo ym. 2017</t>
  </si>
  <si>
    <t>Diesel</t>
  </si>
  <si>
    <t>Bensiini</t>
  </si>
  <si>
    <t>Kaasu (maakaasu)</t>
  </si>
  <si>
    <t>Kaasu (biokaasu)</t>
  </si>
  <si>
    <t>Seppälä, J. ym. 2021</t>
  </si>
  <si>
    <t>Sähköauto</t>
  </si>
  <si>
    <t>1 &amp; 9</t>
  </si>
  <si>
    <t>Salo ym. 2017, Next Green Car Limited 2016</t>
  </si>
  <si>
    <t>Hybridi</t>
  </si>
  <si>
    <t>WWF 2020</t>
  </si>
  <si>
    <t>Lataushybridi</t>
  </si>
  <si>
    <t>Moottoripyörä</t>
  </si>
  <si>
    <t>VTT Lipasto 2017</t>
  </si>
  <si>
    <t>Mopo</t>
  </si>
  <si>
    <t>Mopoauto</t>
  </si>
  <si>
    <t>Sähköpotkulauta (Vuokraus)</t>
  </si>
  <si>
    <t xml:space="preserve">Maiste, K. (2020) </t>
  </si>
  <si>
    <t>Sähköpyörä</t>
  </si>
  <si>
    <t>1 &amp; 55</t>
  </si>
  <si>
    <t>Salo ym. 2019 &amp;</t>
  </si>
  <si>
    <t>kgCO2e/l</t>
  </si>
  <si>
    <t>Mönkijä</t>
  </si>
  <si>
    <t>VTT 2017</t>
  </si>
  <si>
    <t>Traktori</t>
  </si>
  <si>
    <t>Moottorikelkka</t>
  </si>
  <si>
    <t>Bussi (kaukoliikenne) km:t</t>
  </si>
  <si>
    <t>Juna (kaukoliikenne) km:t</t>
  </si>
  <si>
    <t>VR 2021</t>
  </si>
  <si>
    <t>Juna (lähiliikenne) km:t</t>
  </si>
  <si>
    <t>Bussi (lähiliikenne/kaupunkibussi) km:t</t>
  </si>
  <si>
    <t>VTT Lipasto 2017 *</t>
  </si>
  <si>
    <t>Metro</t>
  </si>
  <si>
    <t>Raitiovaunu</t>
  </si>
  <si>
    <t>kgCO2e/€</t>
  </si>
  <si>
    <t>Juna (ulkomaat)</t>
  </si>
  <si>
    <t>Karkulehto ym. 2021a</t>
  </si>
  <si>
    <t>Bussi (ulkomaat)</t>
  </si>
  <si>
    <t>Työmatkat/Luokkaretket</t>
  </si>
  <si>
    <t>Autolautta/risteilyalus</t>
  </si>
  <si>
    <t>El Geneidy ym. 2021a</t>
  </si>
  <si>
    <t>INFRASTRUKTUURI</t>
  </si>
  <si>
    <t>Kiinteistöjen sähkön ja lämmön päästöihin on lisätty Syken ohjeistuksen ja Ilmastodieetin periaatteiden mukaisesti polttoaineketjun päästöt, n. 20%</t>
  </si>
  <si>
    <t>ENERGIA</t>
  </si>
  <si>
    <t>Sähkönkulutus</t>
  </si>
  <si>
    <t>kgCO2e/MWh</t>
  </si>
  <si>
    <t>Keskim. suomalainen sähkö</t>
  </si>
  <si>
    <t>Salo ym. 2017 &amp; Vainio A. 2020</t>
  </si>
  <si>
    <t>Päästötön/vihreä sähkö</t>
  </si>
  <si>
    <t>Mälkki ym. 1999</t>
  </si>
  <si>
    <t>Myyjän ilmoittama päästökerroin (ilmoita merkittyyn soluun)</t>
  </si>
  <si>
    <t>Keskim. suomalainen kaukolämpö</t>
  </si>
  <si>
    <t>1&amp;55</t>
  </si>
  <si>
    <t>Päästötön/vihreä kaukolämpö</t>
  </si>
  <si>
    <t>Sähkölämmitys</t>
  </si>
  <si>
    <t>Heljo &amp; Laine 2005 *Arvo eroaa tavallisesta sähkönkulutuksesta siinä, että sähkölämmityksen katsotaan kuluttavan pääosin kylmien vuodenaikojen huipputehovoimaloiden korkeamman päästökertoimen energiaa.</t>
  </si>
  <si>
    <t>Kaukojäähdytys, Yhteistuotanto</t>
  </si>
  <si>
    <t>Helen 2018</t>
  </si>
  <si>
    <t>Päästötön kaukojäähdytys</t>
  </si>
  <si>
    <t>4, 26-29</t>
  </si>
  <si>
    <t>*Nollapäästöistä mm. Helsingissä, Espoossa, Tampereella, Turussa, Porissa</t>
  </si>
  <si>
    <t>Sähköjäähdytys</t>
  </si>
  <si>
    <t>Ilmanvaihto</t>
  </si>
  <si>
    <t>kWh/(m3/s)</t>
  </si>
  <si>
    <t>Tulo- ja poisto</t>
  </si>
  <si>
    <t>Satokanto. A. 2016</t>
  </si>
  <si>
    <t>Pelkkä poisto</t>
  </si>
  <si>
    <t>(m3/s)/m2</t>
  </si>
  <si>
    <t>Ulkoilmavirta</t>
  </si>
  <si>
    <t>Finlex 2017</t>
  </si>
  <si>
    <t>RUOKALAN ENERGIANKULUTUS</t>
  </si>
  <si>
    <t>MWh per päivä</t>
  </si>
  <si>
    <t>Valmistus- ja keskuskeittiö</t>
  </si>
  <si>
    <t>Motiva</t>
  </si>
  <si>
    <t>Valmistus- ja kuumennuskeittiö</t>
  </si>
  <si>
    <t>MWh per annos</t>
  </si>
  <si>
    <t>JÄTTEET</t>
  </si>
  <si>
    <t>kgCO2e/kg</t>
  </si>
  <si>
    <t>Sekäjäte</t>
  </si>
  <si>
    <t>Sähkölaiteet (Kierrätykseen)</t>
  </si>
  <si>
    <t>HANKINNAT</t>
  </si>
  <si>
    <t>kgCO2e/kpl</t>
  </si>
  <si>
    <t>Puhelin</t>
  </si>
  <si>
    <t>Kannettava Tietokone</t>
  </si>
  <si>
    <t>Tietokoneen Näyttö</t>
  </si>
  <si>
    <t>Tabletti</t>
  </si>
  <si>
    <t>Pöytätietokone</t>
  </si>
  <si>
    <t>WWF 2017</t>
  </si>
  <si>
    <t>Monitoimitulostin</t>
  </si>
  <si>
    <t>Tulostin</t>
  </si>
  <si>
    <t>Työtuoli (pyörillä)</t>
  </si>
  <si>
    <t>Tuoli</t>
  </si>
  <si>
    <t>Pöytä (metallirunko)</t>
  </si>
  <si>
    <t>Sähköpöytä</t>
  </si>
  <si>
    <t>Paperi (kg)</t>
  </si>
  <si>
    <t>kgCO2e/item</t>
  </si>
  <si>
    <t>E-kirja</t>
  </si>
  <si>
    <t>Positive Impact Finland Oy, 2021</t>
  </si>
  <si>
    <t>Kirja</t>
  </si>
  <si>
    <t>VTT 2010</t>
  </si>
  <si>
    <t xml:space="preserve">kgCO2e/€ </t>
  </si>
  <si>
    <t>Siivous (CO2e/€)</t>
  </si>
  <si>
    <t>Salo ym. 2019</t>
  </si>
  <si>
    <t>Internetti/Puhelut</t>
  </si>
  <si>
    <t>Posti</t>
  </si>
  <si>
    <t>Tolvanen K. 2021</t>
  </si>
  <si>
    <t>RUOKA</t>
  </si>
  <si>
    <t>Lihat</t>
  </si>
  <si>
    <t>Nauta</t>
  </si>
  <si>
    <t>Kala</t>
  </si>
  <si>
    <t>Kana</t>
  </si>
  <si>
    <t>Sika</t>
  </si>
  <si>
    <t>Makkara</t>
  </si>
  <si>
    <t>Saarinen ym. 2014</t>
  </si>
  <si>
    <t>Kasvis/Vegaani</t>
  </si>
  <si>
    <t>Soijarouhe</t>
  </si>
  <si>
    <t>MTT 2012</t>
  </si>
  <si>
    <t>Härkäpapu</t>
  </si>
  <si>
    <t>MTK 2020</t>
  </si>
  <si>
    <t>Tofu</t>
  </si>
  <si>
    <t>Kasvikset</t>
  </si>
  <si>
    <t>Kautajuoma, Fazer Aito</t>
  </si>
  <si>
    <t>Fazer 2021</t>
  </si>
  <si>
    <t>Maito</t>
  </si>
  <si>
    <t>Arla</t>
  </si>
  <si>
    <t>Kahvi</t>
  </si>
  <si>
    <t>Haartikainen &amp; Pulkkinen 2016</t>
  </si>
  <si>
    <t>Tee</t>
  </si>
  <si>
    <t>Pasta</t>
  </si>
  <si>
    <t>Myllyn Paras</t>
  </si>
  <si>
    <t>Riisi</t>
  </si>
  <si>
    <t>Peruna</t>
  </si>
  <si>
    <t>Juurekset</t>
  </si>
  <si>
    <t>Ilmasto-opas</t>
  </si>
  <si>
    <t>Juusto</t>
  </si>
  <si>
    <t>Kananmuna</t>
  </si>
  <si>
    <t>Kerma</t>
  </si>
  <si>
    <t>European Dairy Association. 2018</t>
  </si>
  <si>
    <t>Kurkku</t>
  </si>
  <si>
    <t>Luke. Silvenius ym. 2019</t>
  </si>
  <si>
    <t>Tomaatti</t>
  </si>
  <si>
    <t>Ruisleipä</t>
  </si>
  <si>
    <t>Vehnäleipä</t>
  </si>
  <si>
    <t>Wanhalinna 2010</t>
  </si>
  <si>
    <t>kgCO2/kg</t>
  </si>
  <si>
    <t>Kiisseli</t>
  </si>
  <si>
    <t>Perunajauho</t>
  </si>
  <si>
    <t>Hedelmät, Marjat</t>
  </si>
  <si>
    <t>Sokeri</t>
  </si>
  <si>
    <t>1 annos</t>
  </si>
  <si>
    <t>Letut</t>
  </si>
  <si>
    <t>Jauho</t>
  </si>
  <si>
    <t>x</t>
  </si>
  <si>
    <t>Suola</t>
  </si>
  <si>
    <t>Vihersalaatti</t>
  </si>
  <si>
    <t>Porkkana</t>
  </si>
  <si>
    <t>Lähdeviitteet:</t>
  </si>
  <si>
    <t>Salo ym. 2019. Ilmastodieetti – mihin sen antamat ilmastopainot perustuvat? Verkkojulkaisu. Saatavilla: https://ilmastodieetti.ymparisto.fi/ilmastodieetti/documentation/Laskentaperusteet.pdf</t>
  </si>
  <si>
    <t>Mälkki H., Hongisto M., Turkulainen T., Kuisma J. &amp; Loikkanen T. 1999. Vihreän energian kriteerit ja elinkaariarviointi energiatuotteiden ympäristökilpailukyvyn arvioinnissa. Espoo: VTT</t>
  </si>
  <si>
    <t>Motiva 2021. CO2-päästökertoimet. Verkkosivu. Saatavilla: https://www.motiva.fi/ratkaisut/energiankaytto_suomessa/co2-paastokertoimet</t>
  </si>
  <si>
    <t>Helen 2021. Energian ominaispäästöt. Verkkosivu. Saatavilla: https://www.helen.fi/yritys/energia/energiantuotanto/sahkon-ja-lammon-ominaispaastot/</t>
  </si>
  <si>
    <t>Heljo J. &amp; Laine H. 2005. Sähkölämmitys ja lämpöpumput sähkönkäyttäjinä ja päästöjen aiheuttajina Suomessa. Näkökulma ja malli sähkönkäytön aiheuttamien CO2-ekv päästöjen arviointia varten. Tampereen teknillinen yliopisto. Rakentamistalouden laitos, Tampere.</t>
  </si>
  <si>
    <t xml:space="preserve"> VTT 2008. LIPASTO Ilmaliikenne: henkilöliikenne. Verkkosivu. Saatavilla: http://lipasto.vtt.fi/yksikkopaastot/henkiloliikenne/ilmaliikenne/henkilo_ilma.htm</t>
  </si>
  <si>
    <t>Jungbluth N. &amp; Meili C. 2018. Recommendations for calculation of the global warming potential of aviation including the radiative forcing index. The International Journal of Life Cycle Assessment. November 2018</t>
  </si>
  <si>
    <t>VTT 2017. LIPASTO Tieliikenne: henkilöliikenne. Verkkosivu. Saatavilla: http://lipasto.vtt.fi/yksikkopaastot/henkiloliikenne/tieliikenne/henkilo_tie.htm</t>
  </si>
  <si>
    <t>Next Green Car Limited 2016. Next Green Car NGC Emissions Calculator Methodology Version 2.3. Verkkojulkaisu. Saatavilla: https://www.nextgreencar.com/content/NGC-Emissions-Calculator-Methodology-2015.pdf</t>
  </si>
  <si>
    <t>Seppälä J., Mäenpää I., Koskela S., Mattila T., Nissinen A., Katajajuuri J-M., Härmä T., Korhonen M-R., Saarinen M. ja Virtanen Y. 2009. Suomen kansantalouden materiaalivirtojen ympäristövaikutusten arviointi ENVIMAT-mallilla, Liite 8. Saatavilla: https://www.motiva.fi/files/4771/Suomen_kansantalouden_materiaalivirtojen_ymparistovaikutusten_arviointi_ENVIMAT-mallilla.pdf</t>
  </si>
  <si>
    <t>Dahlbo ym. 2011. HSY:n alueella tuotettujen, käsiteltyjen ja hyödynnettyjen jätelajien khk-päästökertoimet – Laskelmientaustatietoa. Julia 2030 -hanke, Suomen ympäristökeskus. Verkkojulkaisu. Saatavilla: https://www.hsy.fi/julia2030/Documents/julia2030/Documents/J%C3%A4tteiden%20khk-kertoimien%20taustadokumentti%202011.pdf</t>
  </si>
  <si>
    <t>HSY 2018. Henna Teerihalmeen konsultointi.</t>
  </si>
  <si>
    <t>WWF 2020. Laskentaperusteet. Verkkosivu. Saatavilla: http://www.ilmastolaskuri.fi/</t>
  </si>
  <si>
    <t>Pihkola H., Nors M., Kujanpää M., Helin T., Kariniemi M., Pajula T., Dahlbo H. &amp; Koskela S. 2010. Carbon footprint and environmental impacts of print products from cradle to grave. Results from the LEADER project (Part 1). Espoo 2010. VTT Tiedotteita – Research Notes 2560. Saatavilla: https://www.vtt.fi/inf/pdf/tiedotteet/2010/T2560.pdf</t>
  </si>
  <si>
    <t>Kurnitski J. 2009. Rakennusten energiatehokkuuden osoittaminen kiinteistöveron porrastusta varten. Raportti B85. Teknillinen korkeakoulu, Espoo. Saatavilla: https://julkaisut.valtioneuvosto.fi/bitstream/handle/10138/41435/Raportti_B85_Kurnitski.pdf?sequence=4</t>
  </si>
  <si>
    <t>Posti 2018. Posti Green -palvelut. Verkkosivu. Saatavilla: https://www.posti.com/vastuullisuus/ymparistovastuu/posti-green--palvelut/</t>
  </si>
  <si>
    <t>Saarinen M., Kurppa S., Nissinen A. ja Mäkelä J. 2011.Aterioiden ja asumisen valinnat kulutuksen ympäristövaikutusten ytimessä. ConsEnv-hankkeen loppuraportti. Suomen ympäristö 14/2011. Helsinki. Saatavilla: https://helda.helsinki.fi/bitstream/handle/10138/37037/SY_14_2011.pdf?sequence=3&amp;isAllowed=y</t>
  </si>
  <si>
    <t>Hartikainen H. &amp; Pulkkinen H. 2016. Summary of the chosen methodologies and practices to produce GHGE-estimates for an average European diet. Natural resources and bioeconomy studies 58/2016. Natural Resources Institute Finland (Luke), Helsinki. Saatavilla: https://jukuri.luke.fi/bitstream/handle/10024/537959/luke-luobio_58_2016.pdf?sequence=1&amp;isAllowed=y</t>
  </si>
  <si>
    <t>The Carbon Trust 2011. International Carbon Flows - Clothing. Verkkojulkaisu. Saatavilla: https://www.carbontrust.com/media/38358/ctc793-international-carbon-flows-clothing.pdf</t>
  </si>
  <si>
    <t>Häkkinen T &amp; Vares S. 2010. Environmental impacts of disposable cups with special focus on the effect of material choices and end of life Journal of Cleaner Production 18: 1458-1463.</t>
  </si>
  <si>
    <t xml:space="preserve">Mattila T., Kujanpää M., Dahlbo H., Soukka R. ja Myllymaa T. 2011. Uncertainty and Sensitivity in the Carbon Footprint of Shopping Bags. Journal of Industrial Ecology 15 (2): 217-227.
</t>
  </si>
  <si>
    <t>Paikkari 2020. TurkuAMK:n hiilijalanjälkilaskenta</t>
  </si>
  <si>
    <t>El Geneidy, S., Alvarez Franco, D., Baumeister, S., Halme, P., Helimo, U., Kortetmäki, T., Latva-Hakuni, E., Mäkelä, M., Raippalinna, L.-M., Vainio, V., &amp; Kotiaho, J. S. 2021a. Sustainability for JYU: Jyväskylän yliopiston ilmasto- ja luontohaitat. In Wisdom Letters (Vol. 2). http://urn.fi/URN:NBN:fi:jyu-202104232476</t>
  </si>
  <si>
    <t>El Geneidy, S., Alvarez Franco, D., Baumeister, S., Halme, P., Helimo, U., Kortetmäki, T., Latva-Hakuni, E., Mäkelä, M., Raippalinna, L.-M., Vainio, V., &amp; Kotiaho, J. S. 2021b. Sustainability for JYU: Jyväskylän yliopiston ilmasto- ja luontohaitat. In Wisdom Letters (Vol. 2). http://urn.fi/URN:NBN:fi:jyu-202104232476</t>
  </si>
  <si>
    <t>VR 2021. Junaillaan yhdessä ilmasto raiteilleen. https://ilmastoraiteilleen.vr.fi/</t>
  </si>
  <si>
    <t>Fortum 2021. Fortum Kaukokylmä. Saatavilla: https://www.fortum.fi/yrityksille-ja-yhteisoille/lammitys/kaukokylma</t>
  </si>
  <si>
    <t>Tampereen Sähkölaitos 2021. Näin tuotamme jäähdytystä. https://www.sahkolaitos.fi/yrityksille-ja-taloyhtioille/jaahdytysratkaisut/alkupera/</t>
  </si>
  <si>
    <t>Turku Energia 2021. Kaukojäähdytyksellä viileää kaukojäähdytysverkon alueelle Saatavilla: https://www.turkuenergia.fi/kaukolampo-ja-jaahdytys/kaukojaahdytys-ekologinen-valinta/</t>
  </si>
  <si>
    <t>Porin Energia 2021. Kaukoviilennys. Saatavilla: https://www.porienergia.fi/lampo/kaukoviilennys</t>
  </si>
  <si>
    <t>Tolvanen, K. 2021. Tampereen korkeakouluyhteisön hiilijalanjälki 2019 – raportti hiililaskentatyöstä. S. 14</t>
  </si>
  <si>
    <t>Seppälä J., Munther J., Viri, R., Liimatainen, H., Weaver, S. ja Ollikainen, M. 2021. Suomen Ilmastopaneelin Autokalkulaattori - Ilmastovaikutusten ja kustannusten arviointiin. Käyttöopas ja laskennan perusteet. Suomen Ilmastopaneeli. Saatavilla: https://www.ilmastopaneeli.fi/autokalkulaattori/</t>
  </si>
  <si>
    <t xml:space="preserve">Suorsa M. 2020. Turun yliopisto. *Viittaus lähteestä 22 Paikkari 2020: Suorsa M. 2020. Turun yliopiston kestävän kehityksen työ ja hiilijalanjäljen arviointi. Yksityinen sähköpostiviesti 9.3.2020. Yliopiston laskennan esitys sähköpostin liitteenä. Viestin saaja Lyyti[1]nen S.; välitetty Paikkari J. </t>
  </si>
  <si>
    <t>SYK 2021. Henkilökohtainen tiedonanto, sähköpostiviesti. 1.4.2021. Ari-Pekka Lassila. Suomen yliopistokiinteistöt.</t>
  </si>
  <si>
    <t>VTT 2017. LIPASTO Tieliikenne: henkilöliikenne. Verkkosivu. Saatavilla: http://lipasto.vtt.fi/yksikkopaastot/henkiloliikenne/tieliikenne/muut/mp.htm</t>
  </si>
  <si>
    <t>VTT 2017. LIPASTO. Tieliikenne: Henkilöliikenne. Verkkosivu. Saatavilla: http://lipasto.vtt.fi/yksikkopaastot/henkiloliikenne/tieliikenne/muut/mopoauto.htm</t>
  </si>
  <si>
    <t>VTT 2017. LIPASTO. Raideliikenne: Henkilöliikenne. Verkkosivu. Saatavilla: http://lipasto.vtt.fi/yksikkopaastot/henkiloliikenne/tieliikenne/linja-autot/bussilinjaautokeskimaarin.htm</t>
  </si>
  <si>
    <t>Motiva 2020. CO2-Päästökertoimet. Verkkosivu. Saatavilla: https://www.motiva.fi/ratkaisut/energiankaytto_suomessa/co2-paastokertoimet</t>
  </si>
  <si>
    <t>Maiste, K. (2020). Sähköpotkulaudan hiilijalanjälki. Kandidaatintyö. Lappeenrannan-Lahden Teknillinen yliopisto LUT. Saatavilla: https://lutpub.lut.fi/bitstream/handle/10024/161679/Kandidaatintyo_Maiste_Kerli.pdf?sequence=1&amp;isAllowed=y</t>
  </si>
  <si>
    <t>VTT 2017. LIPASTO. Tieliikenne: Henkilöliikenne. Verkkosivu. Saatavilla: http://lipasto.vtt.fi/yksikkopaastot/henkiloliikenne/tieliikenne/henkiloautot/habens.htm</t>
  </si>
  <si>
    <t>VTT 2017. LIPASTO. Tieliikenne: Henkilöliikenne. Verkkosivu. Saatavilla: http://lipasto.vtt.fi/yksikkopaastot/henkiloliikenne/tieliikenne/muut/mopo.htm</t>
  </si>
  <si>
    <t>Ilmastodieetti 2019. Verkkosivu. Saatavilla:   https://ilmastodieetti.ymparisto.fi/ilmastodieetti/calculationInfo</t>
  </si>
  <si>
    <t>Myllyn Paras n.d. Verkkosivu. Saatavilla: https://www.myllynparas.fi/paraspasta</t>
  </si>
  <si>
    <t>Arla n.d. Verkkosivu. Saatavilla: https://www.arla.fi/artikkelit/kaikkien-arlalle-maitoa-tuottavien-tilojen-hiilijalanjalki-on-laskettu/</t>
  </si>
  <si>
    <t>Data reveals the carbon footprint of sausage eaters at World Cup 2018.   https://www.foodprocessing-technology.com/news/data-reveals-carbon-footprint-sausage-eaters-world-cup-2018/</t>
  </si>
  <si>
    <t>Fazer Aito 2021. Verkkosivu. Saatavilla: https://fazeraito.fi/ajankohtaista/fazer-aito-kaurajuoman-hiilijalanjalki-on-pieni/</t>
  </si>
  <si>
    <t>Wanhalinna V. 2010. Leivän Hiilijalanjälki. ISSN 0355-1180. Saatavilla: https://core.ac.uk/download/pdf/14913962.pdf</t>
  </si>
  <si>
    <t xml:space="preserve">Merja Saarinen et al., Ravitsemus ja maaperävaikutukset ruoan elinkaariarvioinnissa, SustFoodChoice-hankkeen loppuraportti, MTT Raportti 146. Jokioinen 2014. (Blonk 2008) Saatavilla: https://jukuri.luke.fi/bitstream/handle/10024/482916/mttraportti146.pdf?sequence=1&amp;isAllowed=y </t>
  </si>
  <si>
    <t xml:space="preserve">LIITE 3. Tutkimusmateriaali laskentasuositukselle. 2012. Saatavilla: https://portal.mtt.fi/portal/page/portal/mtt/hankkeet/foodprint/laskentasuositus/LIITE%203%20Tukimateriaali%20suositukselle_7.11.2012.pdf </t>
  </si>
  <si>
    <t>MTK 2020. Saatavilla: https://www.mtk.fi/documents/20143/0/201116_MTK_Ravintoainetiheysindeksi_final+%281%29.pdf/b1ebcb53-3685-b1fd-3878-df133317fd3e?t=1605561070262</t>
  </si>
  <si>
    <t>Ilmasto-opas. N.d. Verkkosivu. Saatavilla: https://ilmasto-opas.fi/fi/ilmastonmuutos/hillinta/-/artikkeli/ab196e68-c632-4bef-86f3-18b5ce91d655/ilmastonmuutosta-voi-hillita-ilmastoystavallisella-ruokavaliolla.html</t>
  </si>
  <si>
    <t>VTT 2017. LIPASTO. Henkilöautot; Dieselkäyttöinen henkilöauto. Verkkosivu. Saatavilla: http://lipasto.vtt.fi/yksikkopaastot/henkiloliikenne/tieliikenne/henkiloautot/hadies.htm</t>
  </si>
  <si>
    <t>VTT 2017. LIPASTO.  Henkilöautot; Kaasukäyttöinen (CNG) henkilöauto. Verkkosivu. Saatavilla: http://lipasto.vtt.fi/yksikkopaastot/henkiloliikenne/tieliikenne/henkiloautot/hakaasu.htm</t>
  </si>
  <si>
    <t>VTT 2017 LIPASTO. Henkilöautot; Henkilöautot keskimäärin LYHYT. Verkkosivu. Saatavilla: http://lipasto.vtt.fi/yksikkopaastot/henkiloliikenne/tieliikenne/henkiloautot/hayht.htm</t>
  </si>
  <si>
    <t>Motiva. N.d. Energiatehokas Ammattikeittiö. Julkaisu. Saatavilla: https://www.motiva.fi/files/3056/Energiatehokas_ammattikeittio.pdf</t>
  </si>
  <si>
    <t>Vainio A. 2020. Hiilijalanjälki ja sen pienentämismahdollisuudet asiantuntijaorganisaatiossa. Insinöörityö. Saatavilla:https://www.theseus.fi/bitstream/handle/10024/339133/Vainio_Alisa.pdf?sequence=2</t>
  </si>
  <si>
    <t>European Dairy Association. 2018. Product Environmeltal Footprint Category Rules for Dairy Products. Saatavilla: https://ec.europa.eu/environment/eussd/smgp/pdf/PEFCR-DairyProducts_2018-04-25_V1.pdf</t>
  </si>
  <si>
    <t>Helkama. Nd. Sähköpyörän käyttöopas. Saatavilla: https://www.helkamavelox.fi/app/uploads/2020/12/ejopo-kayttoohje_2019.pdf</t>
  </si>
  <si>
    <t>VTT 2017. Lipasto. Maastoajoneuvot. Verkkosivu. Saatavilla: http://lipasto.vtt.fi/yksikkopaastot/muut/maastoliikenne/monkijat_litra.htm</t>
  </si>
  <si>
    <t>VTT 2017. Lipasto. Työkoneet. Verkkosivu. Saatavilla: http://lipasto.vtt.fi/yksikkopaastot/muut/tyokoneet/tyokoneet_litra.htm</t>
  </si>
  <si>
    <t>VTT 2010.  Kirjan hiilijalanjälki. Saatavilla: https://projectsites.vtt.fi/sites/leader/www.vtt.fi/sites/leader/en/kirjan_hiilijalanjalki_2010.pdf</t>
  </si>
  <si>
    <t>Positive Impact Finland Oy &amp; Helsingin Kaupunginkirjasto 2021. Kirjastot matkalla hiilineutraaliin jakamistalouteen. Liite 2. Saatavilla: https://docs.google.com/document/d/1BRQdX7W37jHElLeDQRHAHYvXvOYYsExGTDyeB91yeYQ/edit</t>
  </si>
  <si>
    <t>Tolvanen, K. 2021. Tampereen korkeakouluyhteisön hiilijalanjälki 2019 – raportti hiililaskentatyöstä. S. 17</t>
  </si>
  <si>
    <t>Helen 2017. Energian ominaispäästöt. Verkkosivu. Saatavilla: https://www.helen.fi/yritys/energia/energiantuotanto/sahkon-ja-lammon-ominaispaastot/</t>
  </si>
  <si>
    <t>VTT 2017. LIPASTO. Verkkosivu. Saatavilla: http://lipasto.vtt.fi/yksikkopaastot/muut/maastoliikenne/kelkat_litra.htm</t>
  </si>
  <si>
    <t>Satokanto A. 2016. Toimistokiinteistön energiamodernisointi. Opinnäytetyö. Saatavilla: https://www.theseus.fi/bitstream/handle/10024/109883/Salokanto_Aleksi.pdf;sequence=1</t>
  </si>
  <si>
    <t>Finlex. 2017. Verkkosivusto. Saatavilla: https://www.finlex.fi/fi/laki/alkup/2017/20171009#Pidm45237817335312</t>
  </si>
  <si>
    <t>Luke. 2019 Silvenius ym. Kasvihuonetuotteiden ilmastovaikutuslaskenta ja vesijalanjälki. Saatavilla: http://urn.fi/URN:ISBN:978-952-326-872-2</t>
  </si>
  <si>
    <t>KOULUN TIEDOT - INFRASTRUKTUURI</t>
  </si>
  <si>
    <t>Kulutus</t>
  </si>
  <si>
    <r>
      <t>kgCO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</si>
  <si>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r>
      <t xml:space="preserve">Sähkönkulutus </t>
    </r>
    <r>
      <rPr>
        <b/>
        <sz val="11"/>
        <color theme="1"/>
        <rFont val="Calibri"/>
        <family val="2"/>
        <scheme val="minor"/>
      </rPr>
      <t>(MWh)</t>
    </r>
  </si>
  <si>
    <r>
      <t xml:space="preserve">josta uusiutuvan osuus </t>
    </r>
    <r>
      <rPr>
        <b/>
        <sz val="11"/>
        <color theme="1"/>
        <rFont val="Calibri"/>
        <family val="2"/>
        <scheme val="minor"/>
      </rPr>
      <t>(%)</t>
    </r>
  </si>
  <si>
    <t xml:space="preserve">Yhteensä: </t>
  </si>
  <si>
    <t xml:space="preserve">Kulutus </t>
  </si>
  <si>
    <t>Sähkölämmitys (MWh)</t>
  </si>
  <si>
    <t>Kaukolämpö (MWh)</t>
  </si>
  <si>
    <t>josta uusiutuvan osuus (%)</t>
  </si>
  <si>
    <t>Kulutus (MWh)</t>
  </si>
  <si>
    <t>Kaukojäähdytys</t>
  </si>
  <si>
    <t>Ilmanvaihto, per päivä</t>
  </si>
  <si>
    <t>h/päivä</t>
  </si>
  <si>
    <t>Määrä (Kg)</t>
  </si>
  <si>
    <r>
      <t>kgCO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</t>
    </r>
  </si>
  <si>
    <t>Määrä (kpl)</t>
  </si>
  <si>
    <t>Kännykkä</t>
  </si>
  <si>
    <t>Kannettava tietokone</t>
  </si>
  <si>
    <t>Tietokoneen näyttö</t>
  </si>
  <si>
    <t>Työtuoli (oyörillä)</t>
  </si>
  <si>
    <t>E-Kirja</t>
  </si>
  <si>
    <t>Määrä (€)</t>
  </si>
  <si>
    <t>Internet/Puhelut</t>
  </si>
  <si>
    <t>Yhteensä</t>
  </si>
  <si>
    <t>Energiakulutuksen hiilijalanjälki</t>
  </si>
  <si>
    <t>Jätteenkäsittelyn hiilijalanjälki</t>
  </si>
  <si>
    <t>Hankintojen hiilijalanjälki</t>
  </si>
  <si>
    <t>Infrastruktuuri-osion hiilijalanjälki</t>
  </si>
  <si>
    <t>KOULUN TIEDOT - MATKAT</t>
  </si>
  <si>
    <t>Koulu-/Työretket</t>
  </si>
  <si>
    <t>Osallistujien määrä</t>
  </si>
  <si>
    <t>hkm (henkilökilometrit)</t>
  </si>
  <si>
    <t>Joukkoliikenne (kotimaa)</t>
  </si>
  <si>
    <t>Bussi (kotimaa), lähiliikenne</t>
  </si>
  <si>
    <t>Bussi (kotimaa), kaukoliikenne</t>
  </si>
  <si>
    <t>Juna (kotimaa), lähiliikenne</t>
  </si>
  <si>
    <t>Juna (kotimaa), kaukoliikenne</t>
  </si>
  <si>
    <r>
      <t>Joukkoliikenne (</t>
    </r>
    <r>
      <rPr>
        <b/>
        <u/>
        <sz val="11"/>
        <color rgb="FF000000"/>
        <rFont val="Calibri"/>
        <family val="2"/>
        <scheme val="minor"/>
      </rPr>
      <t>ulkomaat</t>
    </r>
    <r>
      <rPr>
        <b/>
        <sz val="11"/>
        <color rgb="FF000000"/>
        <rFont val="Calibri"/>
        <family val="2"/>
        <scheme val="minor"/>
      </rPr>
      <t>)</t>
    </r>
  </si>
  <si>
    <t>€</t>
  </si>
  <si>
    <t>Bussi (ulkomaa)</t>
  </si>
  <si>
    <t>Juna (ulkomaa)</t>
  </si>
  <si>
    <t>km</t>
  </si>
  <si>
    <t xml:space="preserve">Ei tiedossa </t>
  </si>
  <si>
    <t xml:space="preserve">Koulu/Työmatkoista muodostuva hiilijalanjälki: </t>
  </si>
  <si>
    <t>Hiilijalanjälki per osallistuja:</t>
  </si>
  <si>
    <t>HENKILÖKOHTAINEN - LIIKENNE</t>
  </si>
  <si>
    <t>Jos kimppakyyti</t>
  </si>
  <si>
    <t>Matkustajien määrä</t>
  </si>
  <si>
    <t>Autolla ajetut kilometrit:</t>
  </si>
  <si>
    <t>km (ajoneuvokilometriä)</t>
  </si>
  <si>
    <t>Litraa</t>
  </si>
  <si>
    <t>Julkinen liikenne</t>
  </si>
  <si>
    <r>
      <t>Bussi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</si>
  <si>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Bussi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</si>
  <si>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</si>
  <si>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</si>
  <si>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t>Pyörä</t>
  </si>
  <si>
    <t>Potkulauta</t>
  </si>
  <si>
    <t>Sähköpotkulauta (Vuokra)</t>
  </si>
  <si>
    <t>Koulumatkastasi syntyvä hiilijalanjälki on:</t>
  </si>
  <si>
    <t>KOULUN TIEDOT - RUOKA</t>
  </si>
  <si>
    <t>Ruokala</t>
  </si>
  <si>
    <t>Lounas</t>
  </si>
  <si>
    <t>Annosten määrä</t>
  </si>
  <si>
    <t>Sisältää</t>
  </si>
  <si>
    <t>Liha-annos</t>
  </si>
  <si>
    <t>Ylijäämäruoka</t>
  </si>
  <si>
    <t>Määrä (kg)</t>
  </si>
  <si>
    <t>Liha-ruoka</t>
  </si>
  <si>
    <t>Ei muuta</t>
  </si>
  <si>
    <t>Salaatti</t>
  </si>
  <si>
    <t>Kasvisannos</t>
  </si>
  <si>
    <t>Leipä</t>
  </si>
  <si>
    <t>Ruokajakelu</t>
  </si>
  <si>
    <t>€/Annos</t>
  </si>
  <si>
    <t>KPL</t>
  </si>
  <si>
    <t>Vegaaninen annos</t>
  </si>
  <si>
    <t>Letut/pannukakku</t>
  </si>
  <si>
    <t>Sähkön kulutus</t>
  </si>
  <si>
    <t xml:space="preserve">Yhteensä </t>
  </si>
  <si>
    <t>Ruokalan energiakulutus</t>
  </si>
  <si>
    <r>
      <t>kgCO</t>
    </r>
    <r>
      <rPr>
        <b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e/pv</t>
    </r>
  </si>
  <si>
    <t>Ylijäämäruuan hiilijalanjälki</t>
  </si>
  <si>
    <t>Ruokajakelun hiilijalanjälki</t>
  </si>
  <si>
    <t>HENKILÖKOHTAINEN - RUOKA</t>
  </si>
  <si>
    <t>Ruokailu</t>
  </si>
  <si>
    <t>Annokset</t>
  </si>
  <si>
    <t>Juoma</t>
  </si>
  <si>
    <t>Vesi</t>
  </si>
  <si>
    <t>Kauramaito</t>
  </si>
  <si>
    <t>Määrä</t>
  </si>
  <si>
    <t>Ruokajäte</t>
  </si>
  <si>
    <t>Alle puoli lautasta</t>
  </si>
  <si>
    <t>Lounaan hiilijalanjälki</t>
  </si>
  <si>
    <t>KOULUN TIEDOT</t>
  </si>
  <si>
    <t>[KOULUN NIMI]</t>
  </si>
  <si>
    <t>Rakennuksen tiedot</t>
  </si>
  <si>
    <r>
      <t xml:space="preserve">Rakennuksen koko </t>
    </r>
    <r>
      <rPr>
        <b/>
        <sz val="11"/>
        <color theme="1"/>
        <rFont val="Calibri"/>
        <family val="2"/>
        <scheme val="minor"/>
      </rPr>
      <t>(m</t>
    </r>
    <r>
      <rPr>
        <b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</si>
  <si>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b/>
        <sz val="11"/>
        <color rgb="FF000000"/>
        <rFont val="Calibri"/>
        <family val="2"/>
        <scheme val="minor"/>
      </rPr>
      <t>2</t>
    </r>
  </si>
  <si>
    <t>Rakennuksen käyttäjien lukumäärä</t>
  </si>
  <si>
    <t>hlö</t>
  </si>
  <si>
    <t>Nykyinen hiilijalanjälki</t>
  </si>
  <si>
    <t>Hiilijalanjäljen vähennys</t>
  </si>
  <si>
    <r>
      <t xml:space="preserve">Haluttu vähennys </t>
    </r>
    <r>
      <rPr>
        <b/>
        <sz val="11"/>
        <color rgb="FF000000"/>
        <rFont val="Calibri"/>
        <family val="2"/>
        <scheme val="minor"/>
      </rPr>
      <t>(%)</t>
    </r>
  </si>
  <si>
    <t>%</t>
  </si>
  <si>
    <r>
      <t>Vähennettävää CO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e</t>
    </r>
  </si>
  <si>
    <t>Haluttu hiilijalanjälki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</si>
</sst>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"/>
    <numFmt numFmtId="165" formatCode="#,##0.0%"/>
    <numFmt numFmtId="166" formatCode="#,##0%"/>
    <numFmt numFmtId="167" formatCode="#,##0.000"/>
    <numFmt numFmtId="168" formatCode="#,##0.0000"/>
    <numFmt numFmtId="169" formatCode="#,##0.00000"/>
  </numFmts>
  <fonts count="3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f2f2f2"/>
      <name val="Calibri"/>
      <family val="2"/>
    </font>
    <font>
      <b/>
      <sz val="11"/>
      <color rgb="FFf2f2f2"/>
      <name val="Calibri"/>
      <family val="2"/>
    </font>
    <font>
      <u/>
      <sz val="11"/>
      <color rgb="FF000000"/>
      <name val="Calibri"/>
      <family val="2"/>
    </font>
    <font>
      <sz val="12"/>
      <color rgb="FFf2f2f2"/>
      <name val="Calibri"/>
      <family val="2"/>
    </font>
    <font>
      <b/>
      <sz val="12"/>
      <color rgb="FFf2f2f2"/>
      <name val="Calibri"/>
      <family val="2"/>
    </font>
    <font>
      <sz val="11"/>
      <color rgb="FF006100"/>
      <name val="Calibri"/>
      <family val="2"/>
    </font>
    <font>
      <sz val="14"/>
      <color rgb="FF006100"/>
      <name val="Calibri"/>
      <family val="2"/>
    </font>
    <font>
      <sz val="14"/>
      <color rgb="FFf2f2f2"/>
      <name val="Calibri"/>
      <family val="2"/>
    </font>
    <font>
      <sz val="11"/>
      <color rgb="FFff6309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d10f"/>
      </patternFill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be00a"/>
      </patternFill>
    </fill>
    <fill>
      <patternFill patternType="solid">
        <fgColor rgb="FFffc403"/>
      </patternFill>
    </fill>
    <fill>
      <patternFill patternType="solid">
        <fgColor rgb="FFff6309"/>
      </patternFill>
    </fill>
    <fill>
      <patternFill patternType="solid">
        <fgColor rgb="FFffd5a2"/>
      </patternFill>
    </fill>
    <fill>
      <patternFill patternType="solid">
        <fgColor rgb="FFffc404"/>
      </patternFill>
    </fill>
    <fill>
      <patternFill patternType="solid">
        <fgColor rgb="FFffb964"/>
      </patternFill>
    </fill>
    <fill>
      <patternFill patternType="solid">
        <fgColor rgb="FFff9501"/>
      </patternFill>
    </fill>
    <fill>
      <patternFill patternType="solid">
        <fgColor rgb="FFffe79b"/>
      </patternFill>
    </fill>
    <fill>
      <patternFill patternType="solid">
        <fgColor rgb="FFffb864"/>
      </patternFill>
    </fill>
    <fill>
      <patternFill patternType="solid">
        <fgColor rgb="FFf2f2f2"/>
      </patternFill>
    </fill>
    <fill>
      <patternFill patternType="solid">
        <fgColor rgb="FFfff3cd"/>
      </patternFill>
    </fill>
    <fill>
      <patternFill patternType="solid">
        <fgColor rgb="FFf8e290"/>
      </patternFill>
    </fill>
    <fill>
      <patternFill patternType="solid">
        <fgColor rgb="FFfff1e0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400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6" applyFont="1" fillId="3" applyFill="1" applyAlignment="1">
      <alignment horizontal="left"/>
    </xf>
    <xf xfId="0" numFmtId="0" borderId="1" applyBorder="1" fontId="7" applyFont="1" fillId="3" applyFill="1" applyAlignment="1">
      <alignment horizontal="right"/>
    </xf>
    <xf xfId="0" numFmtId="0" borderId="1" applyBorder="1" fontId="6" applyFont="1" fillId="3" applyFill="1" applyAlignment="1">
      <alignment horizontal="left" wrapText="1"/>
    </xf>
    <xf xfId="0" numFmtId="164" applyNumberFormat="1" borderId="1" applyBorder="1" fontId="7" applyFont="1" fillId="3" applyFill="1" applyAlignment="1">
      <alignment horizontal="right"/>
    </xf>
    <xf xfId="0" numFmtId="0" borderId="1" applyBorder="1" fontId="8" applyFont="1" fillId="3" applyFill="1" applyAlignment="1">
      <alignment horizontal="left"/>
    </xf>
    <xf xfId="0" numFmtId="3" applyNumberFormat="1" borderId="1" applyBorder="1" fontId="7" applyFont="1" fillId="3" applyFill="1" applyAlignment="1">
      <alignment horizontal="right"/>
    </xf>
    <xf xfId="0" numFmtId="4" applyNumberFormat="1" borderId="1" applyBorder="1" fontId="9" applyFont="1" fillId="3" applyFill="1" applyAlignment="1">
      <alignment horizontal="left"/>
    </xf>
    <xf xfId="0" numFmtId="0" borderId="2" applyBorder="1" fontId="8" applyFont="1" fillId="4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164" applyNumberFormat="1" borderId="2" applyBorder="1" fontId="8" applyFont="1" fillId="4" applyFill="1" applyAlignment="1">
      <alignment horizontal="right"/>
    </xf>
    <xf xfId="0" numFmtId="0" borderId="2" applyBorder="1" fontId="10" applyFont="1" fillId="4" applyFill="1" applyAlignment="1">
      <alignment horizontal="left"/>
    </xf>
    <xf xfId="0" numFmtId="165" applyNumberFormat="1" borderId="1" applyBorder="1" fontId="7" applyFont="1" fillId="3" applyFill="1" applyAlignment="1">
      <alignment horizontal="right"/>
    </xf>
    <xf xfId="0" numFmtId="0" borderId="1" applyBorder="1" fontId="10" applyFont="1" fillId="3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164" applyNumberFormat="1" borderId="4" applyBorder="1" fontId="1" applyFont="1" fillId="2" applyFill="1" applyAlignment="1">
      <alignment horizontal="right"/>
    </xf>
    <xf xfId="0" numFmtId="0" borderId="4" applyBorder="1" fontId="1" applyFont="1" fillId="2" applyFill="1" applyAlignment="1">
      <alignment horizontal="left"/>
    </xf>
    <xf xfId="0" numFmtId="0" borderId="3" applyBorder="1" fontId="11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164" applyNumberFormat="1" borderId="4" applyBorder="1" fontId="2" applyFont="1" fillId="3" applyFill="1" applyAlignment="1">
      <alignment horizontal="right"/>
    </xf>
    <xf xfId="0" numFmtId="0" borderId="5" applyBorder="1" fontId="2" applyFont="1" fillId="3" applyFill="1" applyAlignment="1">
      <alignment horizontal="left"/>
    </xf>
    <xf xfId="0" numFmtId="0" borderId="6" applyBorder="1" fontId="2" applyFont="1" fillId="3" applyFill="1" applyAlignment="1">
      <alignment horizontal="left"/>
    </xf>
    <xf xfId="0" numFmtId="164" applyNumberFormat="1" borderId="2" applyBorder="1" fontId="2" applyFont="1" fillId="3" applyFill="1" applyAlignment="1">
      <alignment horizontal="right"/>
    </xf>
    <xf xfId="0" numFmtId="4" applyNumberFormat="1" borderId="1" applyBorder="1" fontId="7" applyFont="1" fillId="3" applyFill="1" applyAlignment="1">
      <alignment horizontal="right"/>
    </xf>
    <xf xfId="0" numFmtId="0" borderId="7" applyBorder="1" fontId="2" applyFont="1" fillId="3" applyFill="1" applyAlignment="1">
      <alignment horizontal="left"/>
    </xf>
    <xf xfId="0" numFmtId="0" borderId="8" applyBorder="1" fontId="2" applyFont="1" fillId="3" applyFill="1" applyAlignment="1">
      <alignment horizontal="left"/>
    </xf>
    <xf xfId="0" numFmtId="4" applyNumberFormat="1" borderId="3" applyBorder="1" fontId="2" applyFont="1" fillId="3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9" applyBorder="1" fontId="2" applyFont="1" fillId="3" applyFill="1" applyAlignment="1">
      <alignment horizontal="left"/>
    </xf>
    <xf xfId="0" numFmtId="4" applyNumberFormat="1" borderId="4" applyBorder="1" fontId="1" applyFont="1" fillId="2" applyFill="1" applyAlignment="1">
      <alignment horizontal="right"/>
    </xf>
    <xf xfId="0" numFmtId="0" borderId="1" applyBorder="1" fontId="12" applyFont="1" fillId="3" applyFill="1" applyAlignment="1">
      <alignment horizontal="left"/>
    </xf>
    <xf xfId="0" numFmtId="4" applyNumberFormat="1" borderId="4" applyBorder="1" fontId="2" applyFont="1" fillId="3" applyFill="1" applyAlignment="1">
      <alignment horizontal="right"/>
    </xf>
    <xf xfId="0" numFmtId="0" borderId="10" applyBorder="1" fontId="2" applyFont="1" fillId="3" applyFill="1" applyAlignment="1">
      <alignment horizontal="left"/>
    </xf>
    <xf xfId="0" numFmtId="0" borderId="1" applyBorder="1" fontId="11" applyFont="1" fillId="3" applyFill="1" applyAlignment="1">
      <alignment horizontal="left"/>
    </xf>
    <xf xfId="0" numFmtId="164" applyNumberFormat="1" borderId="9" applyBorder="1" fontId="2" applyFont="1" fillId="3" applyFill="1" applyAlignment="1">
      <alignment horizontal="right"/>
    </xf>
    <xf xfId="0" numFmtId="1" applyNumberFormat="1" borderId="1" applyBorder="1" fontId="3" applyFont="1" fillId="3" applyFill="1" applyAlignment="1">
      <alignment horizontal="left"/>
    </xf>
    <xf xfId="0" numFmtId="164" applyNumberFormat="1" borderId="9" applyBorder="1" fontId="1" applyFont="1" fillId="2" applyFill="1" applyAlignment="1">
      <alignment horizontal="right"/>
    </xf>
    <xf xfId="0" numFmtId="1" applyNumberFormat="1" borderId="1" applyBorder="1" fontId="7" applyFont="1" fillId="3" applyFill="1" applyAlignment="1">
      <alignment horizontal="left"/>
    </xf>
    <xf xfId="0" numFmtId="166" applyNumberFormat="1" borderId="1" applyBorder="1" fontId="7" applyFont="1" fillId="3" applyFill="1" applyAlignment="1">
      <alignment horizontal="right"/>
    </xf>
    <xf xfId="0" numFmtId="0" borderId="11" applyBorder="1" fontId="10" applyFont="1" fillId="0" applyAlignment="1">
      <alignment horizontal="left"/>
    </xf>
    <xf xfId="0" numFmtId="0" borderId="1" applyBorder="1" fontId="13" applyFont="1" fillId="3" applyFill="1" applyAlignment="1">
      <alignment horizontal="left"/>
    </xf>
    <xf xfId="0" numFmtId="4" applyNumberFormat="1" borderId="1" applyBorder="1" fontId="13" applyFont="1" fillId="3" applyFill="1" applyAlignment="1">
      <alignment horizontal="left"/>
    </xf>
    <xf xfId="0" numFmtId="0" borderId="1" applyBorder="1" fontId="14" applyFont="1" fillId="3" applyFill="1" applyAlignment="1">
      <alignment horizontal="left"/>
    </xf>
    <xf xfId="0" numFmtId="0" borderId="10" applyBorder="1" fontId="3" applyFont="1" fillId="3" applyFill="1" applyAlignment="1">
      <alignment horizontal="left"/>
    </xf>
    <xf xfId="0" numFmtId="4" applyNumberFormat="1" borderId="10" applyBorder="1" fontId="3" applyFont="1" fillId="3" applyFill="1" applyAlignment="1">
      <alignment horizontal="left"/>
    </xf>
    <xf xfId="0" numFmtId="0" borderId="10" applyBorder="1" fontId="1" applyFont="1" fillId="3" applyFill="1" applyAlignment="1">
      <alignment horizontal="left"/>
    </xf>
    <xf xfId="0" numFmtId="0" borderId="1" applyBorder="1" fontId="15" applyFont="1" fillId="3" applyFill="1" applyAlignment="1">
      <alignment horizontal="left"/>
    </xf>
    <xf xfId="0" numFmtId="0" borderId="1" applyBorder="1" fontId="16" applyFont="1" fillId="3" applyFill="1" applyAlignment="1">
      <alignment horizontal="left"/>
    </xf>
    <xf xfId="0" numFmtId="4" applyNumberFormat="1" borderId="1" applyBorder="1" fontId="2" applyFont="1" fillId="3" applyFill="1" applyAlignment="1">
      <alignment horizontal="right"/>
    </xf>
    <xf xfId="0" numFmtId="164" applyNumberFormat="1" borderId="1" applyBorder="1" fontId="2" applyFont="1" fillId="3" applyFill="1" applyAlignment="1">
      <alignment horizontal="right"/>
    </xf>
    <xf xfId="0" numFmtId="0" borderId="2" applyBorder="1" fontId="4" applyFont="1" fillId="5" applyFill="1" applyAlignment="1">
      <alignment horizontal="left"/>
    </xf>
    <xf xfId="0" numFmtId="0" borderId="2" applyBorder="1" fontId="3" applyFont="1" fillId="5" applyFill="1" applyAlignment="1">
      <alignment horizontal="left"/>
    </xf>
    <xf xfId="0" numFmtId="4" applyNumberFormat="1" borderId="9" applyBorder="1" fontId="4" applyFont="1" fillId="5" applyFill="1" applyAlignment="1">
      <alignment horizontal="right"/>
    </xf>
    <xf xfId="0" numFmtId="0" borderId="2" applyBorder="1" fontId="4" applyFont="1" fillId="6" applyFill="1" applyAlignment="1">
      <alignment horizontal="left"/>
    </xf>
    <xf xfId="0" numFmtId="4" applyNumberFormat="1" borderId="9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9" applyBorder="1" fontId="4" applyFont="1" fillId="7" applyFill="1" applyAlignment="1">
      <alignment horizontal="left"/>
    </xf>
    <xf xfId="0" numFmtId="4" applyNumberFormat="1" borderId="9" applyBorder="1" fontId="3" applyFont="1" fillId="3" applyFill="1" applyAlignment="1">
      <alignment horizontal="right"/>
    </xf>
    <xf xfId="0" numFmtId="0" borderId="9" applyBorder="1" fontId="3" applyFont="1" fillId="3" applyFill="1" applyAlignment="1">
      <alignment horizontal="left"/>
    </xf>
    <xf xfId="0" numFmtId="4" applyNumberFormat="1" borderId="9" applyBorder="1" fontId="2" applyFont="1" fillId="3" applyFill="1" applyAlignment="1">
      <alignment horizontal="right"/>
    </xf>
    <xf xfId="0" numFmtId="4" applyNumberFormat="1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3" applyFont="1" fillId="3" applyFill="1" applyAlignment="1">
      <alignment horizontal="left"/>
    </xf>
    <xf xfId="0" numFmtId="0" borderId="1" applyBorder="1" fontId="17" applyFont="1" fillId="3" applyFill="1" applyAlignment="1">
      <alignment horizontal="left"/>
    </xf>
    <xf xfId="0" numFmtId="164" applyNumberFormat="1" borderId="1" applyBorder="1" fontId="5" applyFont="1" fillId="3" applyFill="1" applyAlignment="1">
      <alignment horizontal="left"/>
    </xf>
    <xf xfId="0" numFmtId="164" applyNumberFormat="1" borderId="2" applyBorder="1" fontId="1" applyFont="1" fillId="8" applyFill="1" applyAlignment="1">
      <alignment horizontal="left"/>
    </xf>
    <xf xfId="0" numFmtId="0" borderId="2" applyBorder="1" fontId="2" applyFont="1" fillId="8" applyFill="1" applyAlignment="1">
      <alignment horizontal="left"/>
    </xf>
    <xf xfId="0" numFmtId="0" borderId="2" applyBorder="1" fontId="18" applyFont="1" fillId="8" applyFill="1" applyAlignment="1">
      <alignment horizontal="left"/>
    </xf>
    <xf xfId="0" numFmtId="164" applyNumberFormat="1" borderId="9" applyBorder="1" fontId="15" applyFont="1" fillId="8" applyFill="1" applyAlignment="1">
      <alignment horizontal="right"/>
    </xf>
    <xf xfId="0" numFmtId="0" borderId="4" applyBorder="1" fontId="15" applyFont="1" fillId="8" applyFill="1" applyAlignment="1">
      <alignment horizontal="left"/>
    </xf>
    <xf xfId="0" numFmtId="0" borderId="2" applyBorder="1" fontId="5" applyFont="1" fillId="4" applyFill="1" applyAlignment="1">
      <alignment horizontal="left"/>
    </xf>
    <xf xfId="0" numFmtId="0" borderId="2" applyBorder="1" fontId="8" applyFont="1" fillId="4" applyFill="1" applyAlignment="1">
      <alignment horizontal="left"/>
    </xf>
    <xf xfId="0" numFmtId="0" borderId="1" applyBorder="1" fontId="19" applyFont="1" fillId="3" applyFill="1" applyAlignment="1">
      <alignment horizontal="left"/>
    </xf>
    <xf xfId="0" numFmtId="0" borderId="1" applyBorder="1" fontId="18" applyFont="1" fillId="3" applyFill="1" applyAlignment="1">
      <alignment horizontal="left"/>
    </xf>
    <xf xfId="0" numFmtId="164" applyNumberFormat="1" borderId="12" applyBorder="1" fontId="18" applyFont="1" fillId="3" applyFill="1" applyAlignment="1">
      <alignment horizontal="right"/>
    </xf>
    <xf xfId="0" numFmtId="0" borderId="2" applyBorder="1" fontId="10" applyFont="1" fillId="5" applyFill="1" applyAlignment="1">
      <alignment horizontal="left"/>
    </xf>
    <xf xfId="0" numFmtId="0" borderId="2" applyBorder="1" fontId="20" applyFont="1" fillId="5" applyFill="1" applyAlignment="1">
      <alignment horizontal="left"/>
    </xf>
    <xf xfId="0" numFmtId="0" borderId="2" applyBorder="1" fontId="21" applyFont="1" fillId="5" applyFill="1" applyAlignment="1">
      <alignment horizontal="left"/>
    </xf>
    <xf xfId="0" numFmtId="164" applyNumberFormat="1" borderId="9" applyBorder="1" fontId="22" applyFont="1" fillId="5" applyFill="1" applyAlignment="1">
      <alignment horizontal="right"/>
    </xf>
    <xf xfId="0" numFmtId="0" borderId="2" applyBorder="1" fontId="23" applyFont="1" fillId="5" applyFill="1" applyAlignment="1">
      <alignment horizontal="left"/>
    </xf>
    <xf xfId="0" numFmtId="0" borderId="1" applyBorder="1" fontId="24" applyFont="1" fillId="3" applyFill="1" applyAlignment="1">
      <alignment horizontal="left"/>
    </xf>
    <xf xfId="0" numFmtId="164" applyNumberFormat="1" borderId="9" applyBorder="1" fontId="24" applyFont="1" fillId="3" applyFill="1" applyAlignment="1">
      <alignment horizontal="right"/>
    </xf>
    <xf xfId="0" numFmtId="164" applyNumberFormat="1" borderId="9" applyBorder="1" fontId="18" applyFont="1" fillId="3" applyFill="1" applyAlignment="1">
      <alignment horizontal="right"/>
    </xf>
    <xf xfId="0" numFmtId="164" applyNumberFormat="1" borderId="9" applyBorder="1" fontId="3" applyFont="1" fillId="3" applyFill="1" applyAlignment="1">
      <alignment horizontal="right"/>
    </xf>
    <xf xfId="0" numFmtId="164" applyNumberFormat="1" borderId="13" applyBorder="1" fontId="3" applyFont="1" fillId="3" applyFill="1" applyAlignment="1">
      <alignment horizontal="right"/>
    </xf>
    <xf xfId="0" numFmtId="164" applyNumberFormat="1" borderId="13" applyBorder="1" fontId="18" applyFont="1" fillId="3" applyFill="1" applyAlignment="1">
      <alignment horizontal="right"/>
    </xf>
    <xf xfId="0" numFmtId="0" borderId="10" applyBorder="1" fontId="19" applyFont="1" fillId="3" applyFill="1" applyAlignment="1">
      <alignment horizontal="left"/>
    </xf>
    <xf xfId="0" numFmtId="0" borderId="2" applyBorder="1" fontId="10" applyFont="1" fillId="9" applyFill="1" applyAlignment="1">
      <alignment horizontal="left"/>
    </xf>
    <xf xfId="0" numFmtId="0" borderId="2" applyBorder="1" fontId="20" applyFont="1" fillId="9" applyFill="1" applyAlignment="1">
      <alignment horizontal="left"/>
    </xf>
    <xf xfId="0" numFmtId="0" borderId="2" applyBorder="1" fontId="21" applyFont="1" fillId="9" applyFill="1" applyAlignment="1">
      <alignment horizontal="left"/>
    </xf>
    <xf xfId="0" numFmtId="164" applyNumberFormat="1" borderId="9" applyBorder="1" fontId="22" applyFont="1" fillId="9" applyFill="1" applyAlignment="1">
      <alignment horizontal="right"/>
    </xf>
    <xf xfId="0" numFmtId="0" borderId="4" applyBorder="1" fontId="23" applyFont="1" fillId="9" applyFill="1" applyAlignment="1">
      <alignment horizontal="left"/>
    </xf>
    <xf xfId="0" numFmtId="0" borderId="10" applyBorder="1" fontId="18" applyFont="1" fillId="3" applyFill="1" applyAlignment="1">
      <alignment horizontal="left"/>
    </xf>
    <xf xfId="0" numFmtId="4" applyNumberFormat="1" borderId="9" applyBorder="1" fontId="18" applyFont="1" fillId="3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164" applyNumberFormat="1" borderId="12" applyBorder="1" fontId="24" applyFont="1" fillId="3" applyFill="1" applyAlignment="1">
      <alignment horizontal="right"/>
    </xf>
    <xf xfId="0" numFmtId="0" borderId="2" applyBorder="1" fontId="15" applyFont="1" fillId="8" applyFill="1" applyAlignment="1">
      <alignment horizontal="left"/>
    </xf>
    <xf xfId="0" numFmtId="0" borderId="1" applyBorder="1" fontId="24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164" applyNumberFormat="1" borderId="13" applyBorder="1" fontId="24" applyFont="1" fillId="3" applyFill="1" applyAlignment="1">
      <alignment horizontal="right"/>
    </xf>
    <xf xfId="0" numFmtId="3" applyNumberFormat="1" borderId="9" applyBorder="1" fontId="3" applyFont="1" fillId="3" applyFill="1" applyAlignment="1">
      <alignment horizontal="right"/>
    </xf>
    <xf xfId="0" numFmtId="0" borderId="10" applyBorder="1" fontId="24" applyFont="1" fillId="3" applyFill="1" applyAlignment="1">
      <alignment horizontal="left"/>
    </xf>
    <xf xfId="0" numFmtId="0" borderId="2" applyBorder="1" fontId="10" applyFont="1" fillId="10" applyFill="1" applyAlignment="1">
      <alignment horizontal="left"/>
    </xf>
    <xf xfId="0" numFmtId="0" borderId="2" applyBorder="1" fontId="20" applyFont="1" fillId="10" applyFill="1" applyAlignment="1">
      <alignment horizontal="left"/>
    </xf>
    <xf xfId="0" numFmtId="164" applyNumberFormat="1" borderId="9" applyBorder="1" fontId="10" applyFont="1" fillId="10" applyFill="1" applyAlignment="1">
      <alignment horizontal="right"/>
    </xf>
    <xf xfId="0" numFmtId="0" borderId="4" applyBorder="1" fontId="4" applyFont="1" fillId="10" applyFill="1" applyAlignment="1">
      <alignment horizontal="left"/>
    </xf>
    <xf xfId="0" numFmtId="0" borderId="3" applyBorder="1" fontId="24" applyFont="1" fillId="3" applyFill="1" applyAlignment="1">
      <alignment horizontal="left"/>
    </xf>
    <xf xfId="0" numFmtId="0" borderId="2" applyBorder="1" fontId="10" applyFont="1" fillId="11" applyFill="1" applyAlignment="1">
      <alignment horizontal="left"/>
    </xf>
    <xf xfId="0" numFmtId="0" borderId="2" applyBorder="1" fontId="20" applyFont="1" fillId="11" applyFill="1" applyAlignment="1">
      <alignment horizontal="left"/>
    </xf>
    <xf xfId="0" numFmtId="164" applyNumberFormat="1" borderId="9" applyBorder="1" fontId="10" applyFont="1" fillId="11" applyFill="1" applyAlignment="1">
      <alignment horizontal="right"/>
    </xf>
    <xf xfId="0" numFmtId="0" borderId="2" applyBorder="1" fontId="4" applyFont="1" fillId="11" applyFill="1" applyAlignment="1">
      <alignment horizontal="left"/>
    </xf>
    <xf xfId="0" numFmtId="0" borderId="2" applyBorder="1" fontId="3" applyFont="1" fillId="8" applyFill="1" applyAlignment="1">
      <alignment horizontal="left"/>
    </xf>
    <xf xfId="0" numFmtId="4" applyNumberFormat="1" borderId="9" applyBorder="1" fontId="4" applyFont="1" fillId="8" applyFill="1" applyAlignment="1">
      <alignment horizontal="right"/>
    </xf>
    <xf xfId="0" numFmtId="0" borderId="4" applyBorder="1" fontId="1" applyFont="1" fillId="8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0" borderId="2" applyBorder="1" fontId="10" applyFont="1" fillId="7" applyFill="1" applyAlignment="1">
      <alignment horizontal="left"/>
    </xf>
    <xf xfId="0" numFmtId="0" borderId="2" applyBorder="1" fontId="20" applyFont="1" fillId="7" applyFill="1" applyAlignment="1">
      <alignment horizontal="left"/>
    </xf>
    <xf xfId="0" numFmtId="164" applyNumberFormat="1" borderId="9" applyBorder="1" fontId="10" applyFont="1" fillId="7" applyFill="1" applyAlignment="1">
      <alignment horizontal="right"/>
    </xf>
    <xf xfId="0" numFmtId="0" borderId="2" applyBorder="1" fontId="1" applyFont="1" fillId="8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164" applyNumberFormat="1" borderId="10" applyBorder="1" fontId="3" applyFont="1" fillId="3" applyFill="1" applyAlignment="1">
      <alignment horizontal="left"/>
    </xf>
    <xf xfId="0" numFmtId="0" borderId="1" applyBorder="1" fontId="25" applyFont="1" fillId="3" applyFill="1" applyAlignment="1">
      <alignment horizontal="left"/>
    </xf>
    <xf xfId="0" numFmtId="164" applyNumberFormat="1" borderId="10" applyBorder="1" fontId="12" applyFont="1" fillId="3" applyFill="1" applyAlignment="1">
      <alignment horizontal="left"/>
    </xf>
    <xf xfId="0" numFmtId="0" borderId="10" applyBorder="1" fontId="12" applyFont="1" fillId="3" applyFill="1" applyAlignment="1">
      <alignment horizontal="left"/>
    </xf>
    <xf xfId="0" numFmtId="164" applyNumberFormat="1" borderId="1" applyBorder="1" fontId="25" applyFont="1" fillId="3" applyFill="1" applyAlignment="1">
      <alignment horizontal="left"/>
    </xf>
    <xf xfId="0" numFmtId="0" borderId="1" applyBorder="1" fontId="22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right"/>
    </xf>
    <xf xfId="0" numFmtId="164" applyNumberFormat="1" borderId="1" applyBorder="1" fontId="2" applyFont="1" fillId="3" applyFill="1" applyAlignment="1">
      <alignment horizontal="left"/>
    </xf>
    <xf xfId="0" numFmtId="0" borderId="3" applyBorder="1" fontId="1" applyFont="1" fillId="5" applyFill="1" applyAlignment="1">
      <alignment horizontal="left"/>
    </xf>
    <xf xfId="0" numFmtId="0" borderId="3" applyBorder="1" fontId="18" applyFont="1" fillId="5" applyFill="1" applyAlignment="1">
      <alignment horizontal="left"/>
    </xf>
    <xf xfId="0" numFmtId="0" borderId="3" applyBorder="1" fontId="2" applyFont="1" fillId="5" applyFill="1" applyAlignment="1">
      <alignment horizontal="left"/>
    </xf>
    <xf xfId="0" numFmtId="164" applyNumberFormat="1" borderId="9" applyBorder="1" fontId="1" applyFont="1" fillId="5" applyFill="1" applyAlignment="1">
      <alignment horizontal="right"/>
    </xf>
    <xf xfId="0" numFmtId="0" borderId="2" applyBorder="1" fontId="1" applyFont="1" fillId="5" applyFill="1" applyAlignment="1">
      <alignment horizontal="left"/>
    </xf>
    <xf xfId="0" numFmtId="164" applyNumberFormat="1" borderId="2" applyBorder="1" fontId="1" applyFont="1" fillId="6" applyFill="1" applyAlignment="1">
      <alignment horizontal="left"/>
    </xf>
    <xf xfId="0" numFmtId="0" borderId="2" applyBorder="1" fontId="2" applyFont="1" fillId="6" applyFill="1" applyAlignment="1">
      <alignment horizontal="left"/>
    </xf>
    <xf xfId="0" numFmtId="164" applyNumberFormat="1" borderId="9" applyBorder="1" fontId="1" applyFont="1" fillId="6" applyFill="1" applyAlignment="1">
      <alignment horizontal="right"/>
    </xf>
    <xf xfId="0" numFmtId="0" borderId="14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164" applyNumberFormat="1" borderId="2" applyBorder="1" fontId="3" applyFont="1" fillId="7" applyFill="1" applyAlignment="1">
      <alignment horizontal="left"/>
    </xf>
    <xf xfId="0" numFmtId="164" applyNumberFormat="1" borderId="9" applyBorder="1" fontId="4" applyFont="1" fillId="7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2" applyBorder="1" fontId="19" applyFont="1" fillId="3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164" applyNumberFormat="1" borderId="9" applyBorder="1" fontId="1" applyFont="1" fillId="3" applyFill="1" applyAlignment="1">
      <alignment horizontal="right"/>
    </xf>
    <xf xfId="0" numFmtId="164" applyNumberFormat="1" borderId="2" applyBorder="1" fontId="1" applyFont="1" fillId="3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24" applyFont="1" fillId="3" applyFill="1" applyAlignment="1">
      <alignment horizontal="left"/>
    </xf>
    <xf xfId="0" numFmtId="0" borderId="14" applyBorder="1" fontId="2" applyFont="1" fillId="3" applyFill="1" applyAlignment="1">
      <alignment horizontal="left"/>
    </xf>
    <xf xfId="0" numFmtId="164" applyNumberFormat="1" borderId="3" applyBorder="1" fontId="2" applyFont="1" fillId="3" applyFill="1" applyAlignment="1">
      <alignment horizontal="left"/>
    </xf>
    <xf xfId="0" numFmtId="0" borderId="1" applyBorder="1" fontId="19" applyFont="1" fillId="3" applyFill="1" applyAlignment="1">
      <alignment horizontal="left"/>
    </xf>
    <xf xfId="0" numFmtId="164" applyNumberFormat="1" borderId="12" applyBorder="1" fontId="3" applyFont="1" fillId="3" applyFill="1" applyAlignment="1">
      <alignment horizontal="right"/>
    </xf>
    <xf xfId="0" numFmtId="0" borderId="6" applyBorder="1" fontId="3" applyFont="1" fillId="3" applyFill="1" applyAlignment="1">
      <alignment horizontal="lef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16" applyBorder="1" fontId="3" applyFont="1" fillId="3" applyFill="1" applyAlignment="1">
      <alignment horizontal="right"/>
    </xf>
    <xf xfId="0" numFmtId="0" borderId="10" applyBorder="1" fontId="23" applyFont="1" fillId="3" applyFill="1" applyAlignment="1">
      <alignment horizontal="left"/>
    </xf>
    <xf xfId="0" numFmtId="164" applyNumberFormat="1" borderId="10" applyBorder="1" fontId="1" applyFont="1" fillId="3" applyFill="1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7" applyBorder="1" fontId="1" applyFont="1" fillId="3" applyFill="1" applyAlignment="1">
      <alignment horizontal="left"/>
    </xf>
    <xf xfId="0" numFmtId="164" applyNumberFormat="1" borderId="17" applyBorder="1" fontId="1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16" applyBorder="1" fontId="1" applyFont="1" fillId="3" applyFill="1" applyAlignment="1">
      <alignment horizontal="left"/>
    </xf>
    <xf xfId="0" numFmtId="164" applyNumberFormat="1" borderId="16" applyBorder="1" fontId="1" applyFont="1" fillId="3" applyFill="1" applyAlignment="1">
      <alignment horizontal="right"/>
    </xf>
    <xf xfId="0" numFmtId="164" applyNumberFormat="1" borderId="9" applyBorder="1" fontId="4" applyFont="1" fillId="3" applyFill="1" applyAlignment="1">
      <alignment horizontal="right"/>
    </xf>
    <xf xfId="0" numFmtId="164" applyNumberFormat="1" borderId="17" applyBorder="1" fontId="3" applyFont="1" fillId="3" applyFill="1" applyAlignment="1">
      <alignment horizontal="right"/>
    </xf>
    <xf xfId="0" numFmtId="0" borderId="10" applyBorder="1" fontId="23" applyFont="1" fillId="3" applyFill="1" applyAlignment="1">
      <alignment horizontal="left"/>
    </xf>
    <xf xfId="0" numFmtId="164" applyNumberFormat="1" borderId="12" applyBorder="1" fontId="1" applyFont="1" fillId="3" applyFill="1" applyAlignment="1">
      <alignment horizontal="right"/>
    </xf>
    <xf xfId="0" numFmtId="164" applyNumberFormat="1" borderId="12" applyBorder="1" fontId="4" applyFont="1" fillId="3" applyFill="1" applyAlignment="1">
      <alignment horizontal="right"/>
    </xf>
    <xf xfId="0" numFmtId="0" borderId="2" applyBorder="1" fontId="1" applyFont="1" fillId="11" applyFill="1" applyAlignment="1">
      <alignment horizontal="left"/>
    </xf>
    <xf xfId="0" numFmtId="0" borderId="2" applyBorder="1" fontId="3" applyFont="1" fillId="11" applyFill="1" applyAlignment="1">
      <alignment horizontal="left"/>
    </xf>
    <xf xfId="0" numFmtId="164" applyNumberFormat="1" borderId="9" applyBorder="1" fontId="4" applyFont="1" fillId="11" applyFill="1" applyAlignment="1">
      <alignment horizontal="right"/>
    </xf>
    <xf xfId="0" numFmtId="0" borderId="2" applyBorder="1" fontId="1" applyFont="1" fillId="10" applyFill="1" applyAlignment="1">
      <alignment horizontal="left"/>
    </xf>
    <xf xfId="0" numFmtId="0" borderId="2" applyBorder="1" fontId="3" applyFont="1" fillId="10" applyFill="1" applyAlignment="1">
      <alignment horizontal="left"/>
    </xf>
    <xf xfId="0" numFmtId="164" applyNumberFormat="1" borderId="9" applyBorder="1" fontId="4" applyFont="1" fillId="10" applyFill="1" applyAlignment="1">
      <alignment horizontal="right"/>
    </xf>
    <xf xfId="0" numFmtId="0" borderId="4" applyBorder="1" fontId="1" applyFont="1" fillId="10" applyFill="1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16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5" applyBorder="1" fontId="1" applyFont="1" fillId="12" applyFill="1" applyAlignment="1">
      <alignment horizontal="left"/>
    </xf>
    <xf xfId="0" numFmtId="1" applyNumberFormat="1" borderId="1" applyBorder="1" fontId="1" applyFont="1" fillId="12" applyFill="1" applyAlignment="1">
      <alignment horizontal="left"/>
    </xf>
    <xf xfId="0" numFmtId="3" applyNumberFormat="1" borderId="1" applyBorder="1" fontId="1" applyFont="1" fillId="12" applyFill="1" applyAlignment="1">
      <alignment horizontal="left"/>
    </xf>
    <xf xfId="0" numFmtId="1" applyNumberFormat="1" borderId="1" applyBorder="1" fontId="2" applyFont="1" fillId="12" applyFill="1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3" applyNumberFormat="1" borderId="11" applyBorder="1" fontId="3" applyFont="1" fillId="0" applyAlignment="1">
      <alignment horizontal="left"/>
    </xf>
    <xf xfId="0" numFmtId="3" applyNumberFormat="1" borderId="11" applyBorder="1" fontId="9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167" applyNumberFormat="1" borderId="1" applyBorder="1" fontId="1" applyFont="1" fillId="12" applyFill="1" applyAlignment="1">
      <alignment horizontal="left"/>
    </xf>
    <xf xfId="0" numFmtId="167" applyNumberFormat="1" borderId="1" applyBorder="1" fontId="2" applyFont="1" fillId="12" applyFill="1" applyAlignment="1">
      <alignment horizontal="right"/>
    </xf>
    <xf xfId="0" numFmtId="3" applyNumberFormat="1" borderId="11" applyBorder="1" fontId="3" applyFont="1" fillId="0" applyAlignment="1">
      <alignment horizontal="center"/>
    </xf>
    <xf xfId="0" numFmtId="0" borderId="11" applyBorder="1" fontId="19" applyFont="1" fillId="0" applyAlignment="1">
      <alignment horizontal="left"/>
    </xf>
    <xf xfId="0" numFmtId="0" borderId="11" applyBorder="1" fontId="26" applyFont="1" fillId="0" applyAlignment="1">
      <alignment horizontal="left"/>
    </xf>
    <xf xfId="0" numFmtId="0" borderId="11" applyBorder="1" fontId="13" applyFont="1" fillId="0" applyAlignment="1">
      <alignment horizontal="left"/>
    </xf>
    <xf xfId="0" numFmtId="3" applyNumberFormat="1" borderId="11" applyBorder="1" fontId="19" applyFont="1" fillId="0" applyAlignment="1">
      <alignment horizontal="center"/>
    </xf>
    <xf xfId="0" numFmtId="0" borderId="11" applyBorder="1" fontId="3" applyFont="1" fillId="0" applyAlignment="1">
      <alignment horizontal="left"/>
    </xf>
    <xf xfId="0" numFmtId="3" applyNumberFormat="1" borderId="11" applyBorder="1" fontId="3" applyFont="1" fillId="0" applyAlignment="1">
      <alignment horizontal="right"/>
    </xf>
    <xf xfId="0" numFmtId="168" applyNumberFormat="1" borderId="1" applyBorder="1" fontId="2" applyFont="1" fillId="12" applyFill="1" applyAlignment="1">
      <alignment horizontal="right"/>
    </xf>
    <xf xfId="0" numFmtId="1" applyNumberFormat="1" borderId="1" applyBorder="1" fontId="2" applyFont="1" fillId="12" applyFill="1" applyAlignment="1">
      <alignment horizontal="right"/>
    </xf>
    <xf xfId="0" numFmtId="0" borderId="11" applyBorder="1" fontId="24" applyFont="1" fillId="0" applyAlignment="1">
      <alignment horizontal="left"/>
    </xf>
    <xf xfId="0" numFmtId="3" applyNumberFormat="1" borderId="18" applyBorder="1" fontId="3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4" applyNumberFormat="1" borderId="1" applyBorder="1" fontId="2" applyFont="1" fillId="12" applyFill="1" applyAlignment="1">
      <alignment horizontal="right"/>
    </xf>
    <xf xfId="0" numFmtId="0" borderId="9" applyBorder="1" fontId="3" applyFont="1" fillId="13" applyFill="1" applyAlignment="1">
      <alignment horizontal="left"/>
    </xf>
    <xf xfId="0" numFmtId="169" applyNumberFormat="1" borderId="1" applyBorder="1" fontId="2" applyFont="1" fillId="12" applyFill="1" applyAlignment="1">
      <alignment horizontal="right"/>
    </xf>
    <xf xfId="0" numFmtId="0" borderId="19" applyBorder="1" fontId="3" applyFont="1" fillId="0" applyAlignment="1">
      <alignment horizontal="left"/>
    </xf>
    <xf xfId="0" numFmtId="167" applyNumberFormat="1" borderId="1" applyBorder="1" fontId="2" applyFont="1" fillId="12" applyFill="1" applyAlignment="1">
      <alignment horizontal="left"/>
    </xf>
    <xf xfId="0" numFmtId="3" applyNumberFormat="1" borderId="5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3" applyNumberFormat="1" borderId="5" applyBorder="1" fontId="3" applyFont="1" fillId="3" applyFill="1" applyAlignment="1">
      <alignment horizontal="center"/>
    </xf>
    <xf xfId="0" numFmtId="3" applyNumberFormat="1" borderId="5" applyBorder="1" fontId="19" applyFont="1" fillId="3" applyFill="1" applyAlignment="1">
      <alignment horizontal="center"/>
    </xf>
    <xf xfId="0" numFmtId="3" applyNumberFormat="1" borderId="1" applyBorder="1" fontId="3" applyFont="1" fillId="3" applyFill="1" applyAlignment="1">
      <alignment horizontal="right"/>
    </xf>
    <xf xfId="0" numFmtId="3" applyNumberFormat="1" borderId="5" applyBorder="1" fontId="3" applyFont="1" fillId="3" applyFill="1" applyAlignment="1">
      <alignment horizontal="right"/>
    </xf>
    <xf xfId="0" numFmtId="3" applyNumberFormat="1" borderId="5" applyBorder="1" fontId="19" applyFont="1" fillId="3" applyFill="1" applyAlignment="1">
      <alignment horizontal="right"/>
    </xf>
    <xf xfId="0" numFmtId="1" applyNumberFormat="1" borderId="1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4" applyNumberFormat="1" borderId="1" applyBorder="1" fontId="19" applyFont="1" fillId="3" applyFill="1" applyAlignment="1">
      <alignment horizontal="right"/>
    </xf>
    <xf xfId="0" numFmtId="0" borderId="1" applyBorder="1" fontId="27" applyFont="1" fillId="3" applyFill="1" applyAlignment="1">
      <alignment horizontal="left"/>
    </xf>
    <xf xfId="0" numFmtId="0" borderId="14" applyBorder="1" fontId="19" applyFont="1" fillId="3" applyFill="1" applyAlignment="1">
      <alignment horizontal="left"/>
    </xf>
    <xf xfId="0" numFmtId="0" borderId="3" applyBorder="1" fontId="19" applyFont="1" fillId="3" applyFill="1" applyAlignment="1">
      <alignment horizontal="left"/>
    </xf>
    <xf xfId="0" numFmtId="4" applyNumberFormat="1" borderId="3" applyBorder="1" fontId="19" applyFont="1" fillId="3" applyFill="1" applyAlignment="1">
      <alignment horizontal="right"/>
    </xf>
    <xf xfId="0" numFmtId="0" borderId="17" applyBorder="1" fontId="27" applyFont="1" fillId="3" applyFill="1" applyAlignment="1">
      <alignment horizontal="left"/>
    </xf>
    <xf xfId="0" numFmtId="0" borderId="5" applyBorder="1" fontId="19" applyFont="1" fillId="3" applyFill="1" applyAlignment="1">
      <alignment horizontal="left"/>
    </xf>
    <xf xfId="0" numFmtId="0" borderId="1" applyBorder="1" fontId="23" applyFont="1" fillId="14" applyFill="1" applyAlignment="1">
      <alignment horizontal="left"/>
    </xf>
    <xf xfId="0" numFmtId="0" borderId="1" applyBorder="1" fontId="23" applyFont="1" fillId="14" applyFill="1" applyAlignment="1">
      <alignment horizontal="center"/>
    </xf>
    <xf xfId="0" numFmtId="4" applyNumberFormat="1" borderId="1" applyBorder="1" fontId="4" applyFont="1" fillId="14" applyFill="1" applyAlignment="1">
      <alignment horizontal="left"/>
    </xf>
    <xf xfId="0" numFmtId="0" borderId="1" applyBorder="1" fontId="19" applyFont="1" fillId="14" applyFill="1" applyAlignment="1">
      <alignment horizontal="left"/>
    </xf>
    <xf xfId="0" numFmtId="0" borderId="6" applyBorder="1" fontId="27" applyFont="1" fillId="3" applyFill="1" applyAlignment="1">
      <alignment horizontal="left"/>
    </xf>
    <xf xfId="0" numFmtId="0" borderId="1" applyBorder="1" fontId="24" applyFont="1" fillId="14" applyFill="1" applyAlignment="1">
      <alignment horizontal="left"/>
    </xf>
    <xf xfId="0" numFmtId="0" borderId="9" applyBorder="1" fontId="24" applyFont="1" fillId="3" applyFill="1" applyAlignment="1">
      <alignment horizontal="left"/>
    </xf>
    <xf xfId="0" numFmtId="4" applyNumberFormat="1" borderId="13" applyBorder="1" fontId="24" applyFont="1" fillId="15" applyFill="1" applyAlignment="1">
      <alignment horizontal="right"/>
    </xf>
    <xf xfId="0" numFmtId="0" borderId="6" applyBorder="1" fontId="28" applyFont="1" fillId="3" applyFill="1" applyAlignment="1">
      <alignment horizontal="center"/>
    </xf>
    <xf xfId="0" numFmtId="4" applyNumberFormat="1" borderId="9" applyBorder="1" fontId="24" applyFont="1" fillId="15" applyFill="1" applyAlignment="1">
      <alignment horizontal="right"/>
    </xf>
    <xf xfId="0" numFmtId="0" borderId="1" applyBorder="1" fontId="4" applyFont="1" fillId="14" applyFill="1" applyAlignment="1">
      <alignment horizontal="right"/>
    </xf>
    <xf xfId="0" numFmtId="4" applyNumberFormat="1" borderId="12" applyBorder="1" fontId="1" applyFont="1" fillId="16" applyFill="1" applyAlignment="1">
      <alignment horizontal="right"/>
    </xf>
    <xf xfId="0" numFmtId="0" borderId="1" applyBorder="1" fontId="4" applyFont="1" fillId="14" applyFill="1" applyAlignment="1">
      <alignment horizontal="left"/>
    </xf>
    <xf xfId="0" numFmtId="4" applyNumberFormat="1" borderId="1" applyBorder="1" fontId="24" applyFont="1" fillId="14" applyFill="1" applyAlignment="1">
      <alignment horizontal="right"/>
    </xf>
    <xf xfId="0" numFmtId="0" borderId="11" applyBorder="1" fontId="29" applyFont="1" fillId="0" applyAlignment="1">
      <alignment horizontal="left"/>
    </xf>
    <xf xfId="0" numFmtId="0" borderId="13" applyBorder="1" fontId="24" applyFont="1" fillId="3" applyFill="1" applyAlignment="1">
      <alignment horizontal="left"/>
    </xf>
    <xf xfId="0" numFmtId="0" borderId="6" applyBorder="1" fontId="30" applyFont="1" fillId="3" applyFill="1" applyAlignment="1">
      <alignment horizontal="left"/>
    </xf>
    <xf xfId="0" numFmtId="0" borderId="4" applyBorder="1" fontId="24" applyFont="1" fillId="3" applyFill="1" applyAlignment="1">
      <alignment horizontal="left"/>
    </xf>
    <xf xfId="0" numFmtId="3" applyNumberFormat="1" borderId="9" applyBorder="1" fontId="24" applyFont="1" fillId="15" applyFill="1" applyAlignment="1">
      <alignment horizontal="right"/>
    </xf>
    <xf xfId="0" numFmtId="0" borderId="6" applyBorder="1" fontId="27" applyFont="1" fillId="3" applyFill="1" applyAlignment="1">
      <alignment horizontal="center"/>
    </xf>
    <xf xfId="0" numFmtId="0" borderId="5" applyBorder="1" fontId="15" applyFont="1" fillId="3" applyFill="1" applyAlignment="1">
      <alignment horizontal="left"/>
    </xf>
    <xf xfId="0" numFmtId="2" applyNumberFormat="1" borderId="1" applyBorder="1" fontId="23" applyFont="1" fillId="14" applyFill="1" applyAlignment="1">
      <alignment horizontal="center"/>
    </xf>
    <xf xfId="0" numFmtId="0" borderId="1" applyBorder="1" fontId="29" applyFont="1" fillId="3" applyFill="1" applyAlignment="1">
      <alignment horizontal="left"/>
    </xf>
    <xf xfId="0" numFmtId="4" applyNumberFormat="1" borderId="17" applyBorder="1" fontId="24" applyFont="1" fillId="15" applyFill="1" applyAlignment="1">
      <alignment horizontal="right"/>
    </xf>
    <xf xfId="0" numFmtId="4" applyNumberFormat="1" borderId="9" applyBorder="1" fontId="1" applyFont="1" fillId="16" applyFill="1" applyAlignment="1">
      <alignment horizontal="right"/>
    </xf>
    <xf xfId="0" numFmtId="4" applyNumberFormat="1" borderId="1" applyBorder="1" fontId="23" applyFont="1" fillId="14" applyFill="1" applyAlignment="1">
      <alignment horizontal="center"/>
    </xf>
    <xf xfId="0" numFmtId="0" borderId="1" applyBorder="1" fontId="31" applyFont="1" fillId="3" applyFill="1" applyAlignment="1">
      <alignment horizontal="left"/>
    </xf>
    <xf xfId="0" numFmtId="0" borderId="9" applyBorder="1" fontId="24" applyFont="1" fillId="3" applyFill="1" applyAlignment="1">
      <alignment horizontal="center"/>
    </xf>
    <xf xfId="0" numFmtId="4" applyNumberFormat="1" borderId="1" applyBorder="1" fontId="23" applyFont="1" fillId="14" applyFill="1" applyAlignment="1">
      <alignment horizontal="left"/>
    </xf>
    <xf xfId="0" numFmtId="0" borderId="1" applyBorder="1" fontId="24" applyFont="1" fillId="14" applyFill="1" applyAlignment="1">
      <alignment horizontal="center"/>
    </xf>
    <xf xfId="0" numFmtId="4" applyNumberFormat="1" borderId="9" applyBorder="1" fontId="15" applyFont="1" fillId="16" applyFill="1" applyAlignment="1">
      <alignment horizontal="right"/>
    </xf>
    <xf xfId="0" numFmtId="0" borderId="1" applyBorder="1" fontId="19" applyFont="1" fillId="14" applyFill="1" applyAlignment="1">
      <alignment horizontal="center"/>
    </xf>
    <xf xfId="0" numFmtId="4" applyNumberFormat="1" borderId="1" applyBorder="1" fontId="19" applyFont="1" fillId="14" applyFill="1" applyAlignment="1">
      <alignment horizontal="center"/>
    </xf>
    <xf xfId="0" numFmtId="0" borderId="1" applyBorder="1" fontId="32" applyFont="1" fillId="3" applyFill="1" applyAlignment="1">
      <alignment horizontal="left"/>
    </xf>
    <xf xfId="0" numFmtId="4" applyNumberFormat="1" borderId="1" applyBorder="1" fontId="23" applyFont="1" fillId="14" applyFill="1" applyAlignment="1">
      <alignment horizontal="right"/>
    </xf>
    <xf xfId="0" numFmtId="0" borderId="12" applyBorder="1" fontId="24" applyFont="1" fillId="3" applyFill="1" applyAlignment="1">
      <alignment horizontal="left"/>
    </xf>
    <xf xfId="0" numFmtId="4" applyNumberFormat="1" borderId="12" applyBorder="1" fontId="24" applyFont="1" fillId="15" applyFill="1" applyAlignment="1">
      <alignment horizontal="right"/>
    </xf>
    <xf xfId="0" numFmtId="0" borderId="2" applyBorder="1" fontId="24" applyFont="1" fillId="14" applyFill="1" applyAlignment="1">
      <alignment horizontal="left"/>
    </xf>
    <xf xfId="0" numFmtId="4" applyNumberFormat="1" borderId="2" applyBorder="1" fontId="24" applyFont="1" fillId="14" applyFill="1" applyAlignment="1">
      <alignment horizontal="right"/>
    </xf>
    <xf xfId="0" numFmtId="0" borderId="8" applyBorder="1" fontId="24" applyFont="1" fillId="3" applyFill="1" applyAlignment="1">
      <alignment horizontal="left"/>
    </xf>
    <xf xfId="0" numFmtId="4" applyNumberFormat="1" borderId="8" applyBorder="1" fontId="24" applyFont="1" fillId="15" applyFill="1" applyAlignment="1">
      <alignment horizontal="right"/>
    </xf>
    <xf xfId="0" numFmtId="0" borderId="10" applyBorder="1" fontId="4" applyFont="1" fillId="14" applyFill="1" applyAlignment="1">
      <alignment horizontal="left"/>
    </xf>
    <xf xfId="0" numFmtId="4" applyNumberFormat="1" borderId="1" applyBorder="1" fontId="19" applyFont="1" fillId="14" applyFill="1" applyAlignment="1">
      <alignment horizontal="left"/>
    </xf>
    <xf xfId="0" numFmtId="0" borderId="5" applyBorder="1" fontId="21" applyFont="1" fillId="3" applyFill="1" applyAlignment="1">
      <alignment horizontal="left"/>
    </xf>
    <xf xfId="0" numFmtId="0" borderId="1" applyBorder="1" fontId="21" applyFont="1" fillId="3" applyFill="1" applyAlignment="1">
      <alignment horizontal="left"/>
    </xf>
    <xf xfId="0" numFmtId="4" applyNumberFormat="1" borderId="1" applyBorder="1" fontId="22" applyFont="1" fillId="3" applyFill="1" applyAlignment="1">
      <alignment horizontal="left"/>
    </xf>
    <xf xfId="0" numFmtId="0" borderId="1" applyBorder="1" fontId="33" applyFont="1" fillId="3" applyFill="1" applyAlignment="1">
      <alignment horizontal="left"/>
    </xf>
    <xf xfId="0" numFmtId="0" borderId="20" applyBorder="1" fontId="34" applyFont="1" fillId="3" applyFill="1" applyAlignment="1">
      <alignment horizontal="left"/>
    </xf>
    <xf xfId="0" numFmtId="0" borderId="21" applyBorder="1" fontId="20" applyFont="1" fillId="2" applyFill="1" applyAlignment="1">
      <alignment horizontal="left"/>
    </xf>
    <xf xfId="0" numFmtId="0" borderId="22" applyBorder="1" fontId="10" applyFont="1" fillId="2" applyFill="1" applyAlignment="1">
      <alignment horizontal="left"/>
    </xf>
    <xf xfId="0" numFmtId="0" borderId="22" applyBorder="1" fontId="20" applyFont="1" fillId="2" applyFill="1" applyAlignment="1">
      <alignment horizontal="left"/>
    </xf>
    <xf xfId="0" numFmtId="4" applyNumberFormat="1" borderId="22" applyBorder="1" fontId="10" applyFont="1" fillId="2" applyFill="1" applyAlignment="1">
      <alignment horizontal="right"/>
    </xf>
    <xf xfId="0" numFmtId="0" borderId="22" applyBorder="1" fontId="1" applyFont="1" fillId="2" applyFill="1" applyAlignment="1">
      <alignment horizontal="left"/>
    </xf>
    <xf xfId="0" numFmtId="0" borderId="23" applyBorder="1" fontId="20" applyFont="1" fillId="2" applyFill="1" applyAlignment="1">
      <alignment horizontal="left"/>
    </xf>
    <xf xfId="0" numFmtId="2" applyNumberFormat="1" borderId="1" applyBorder="1" fontId="19" applyFont="1" fillId="3" applyFill="1" applyAlignment="1">
      <alignment horizontal="left"/>
    </xf>
    <xf xfId="0" numFmtId="4" applyNumberFormat="1" borderId="11" applyBorder="1" fontId="19" applyFont="1" fillId="0" applyAlignment="1">
      <alignment horizontal="right"/>
    </xf>
    <xf xfId="0" numFmtId="167" applyNumberFormat="1" borderId="1" applyBorder="1" fontId="3" applyFont="1" fillId="3" applyFill="1" applyAlignment="1">
      <alignment horizontal="left"/>
    </xf>
    <xf xfId="0" numFmtId="0" borderId="14" applyBorder="1" fontId="3" applyFont="1" fillId="3" applyFill="1" applyAlignment="1">
      <alignment horizontal="left"/>
    </xf>
    <xf xfId="0" numFmtId="167" applyNumberFormat="1" borderId="3" applyBorder="1" fontId="3" applyFont="1" fillId="3" applyFill="1" applyAlignment="1">
      <alignment horizontal="left"/>
    </xf>
    <xf xfId="0" numFmtId="0" borderId="17" applyBorder="1" fontId="3" applyFont="1" fillId="3" applyFill="1" applyAlignment="1">
      <alignment horizontal="left"/>
    </xf>
    <xf xfId="0" numFmtId="0" borderId="5" applyBorder="1" fontId="3" applyFont="1" fillId="3" applyFill="1" applyAlignment="1">
      <alignment horizontal="left"/>
    </xf>
    <xf xfId="0" numFmtId="0" borderId="1" applyBorder="1" fontId="3" applyFont="1" fillId="14" applyFill="1" applyAlignment="1">
      <alignment horizontal="left"/>
    </xf>
    <xf xfId="0" numFmtId="167" applyNumberFormat="1" borderId="1" applyBorder="1" fontId="3" applyFont="1" fillId="14" applyFill="1" applyAlignment="1">
      <alignment horizontal="left"/>
    </xf>
    <xf xfId="0" numFmtId="0" borderId="9" applyBorder="1" fontId="4" applyFont="1" fillId="3" applyFill="1" applyAlignment="1">
      <alignment horizontal="left"/>
    </xf>
    <xf xfId="0" numFmtId="167" applyNumberFormat="1" borderId="1" applyBorder="1" fontId="4" applyFont="1" fillId="14" applyFill="1" applyAlignment="1">
      <alignment horizontal="left"/>
    </xf>
    <xf xfId="0" numFmtId="0" borderId="9" applyBorder="1" fontId="24" applyFont="1" fillId="3" applyFill="1" applyAlignment="1">
      <alignment horizontal="right"/>
    </xf>
    <xf xfId="0" numFmtId="0" borderId="9" applyBorder="1" fontId="3" applyFont="1" fillId="3" applyFill="1" applyAlignment="1">
      <alignment horizontal="right"/>
    </xf>
    <xf xfId="0" numFmtId="0" borderId="1" applyBorder="1" fontId="3" applyFont="1" fillId="14" applyFill="1" applyAlignment="1">
      <alignment horizontal="right"/>
    </xf>
    <xf xfId="0" numFmtId="167" applyNumberFormat="1" borderId="1" applyBorder="1" fontId="24" applyFont="1" fillId="14" applyFill="1" applyAlignment="1">
      <alignment horizontal="left"/>
    </xf>
    <xf xfId="0" numFmtId="0" borderId="1" applyBorder="1" fontId="24" applyFont="1" fillId="14" applyFill="1" applyAlignment="1">
      <alignment horizontal="right"/>
    </xf>
    <xf xfId="0" numFmtId="0" borderId="1" applyBorder="1" fontId="35" applyFont="1" fillId="3" applyFill="1" applyAlignment="1">
      <alignment horizontal="left"/>
    </xf>
    <xf xfId="0" numFmtId="0" borderId="1" applyBorder="1" fontId="20" applyFont="1" fillId="3" applyFill="1" applyAlignment="1">
      <alignment horizontal="left"/>
    </xf>
    <xf xfId="0" numFmtId="167" applyNumberFormat="1" borderId="1" applyBorder="1" fontId="10" applyFont="1" fillId="3" applyFill="1" applyAlignment="1">
      <alignment horizontal="left"/>
    </xf>
    <xf xfId="0" numFmtId="0" borderId="6" applyBorder="1" fontId="20" applyFont="1" fillId="3" applyFill="1" applyAlignment="1">
      <alignment horizontal="left"/>
    </xf>
    <xf xfId="0" numFmtId="0" borderId="24" applyBorder="1" fontId="2" applyFont="1" fillId="2" applyFill="1" applyAlignment="1">
      <alignment horizontal="left"/>
    </xf>
    <xf xfId="0" numFmtId="0" borderId="25" applyBorder="1" fontId="10" applyFont="1" fillId="2" applyFill="1" applyAlignment="1">
      <alignment horizontal="left"/>
    </xf>
    <xf xfId="0" numFmtId="0" borderId="25" applyBorder="1" fontId="20" applyFont="1" fillId="2" applyFill="1" applyAlignment="1">
      <alignment horizontal="left"/>
    </xf>
    <xf xfId="0" numFmtId="4" applyNumberFormat="1" borderId="25" applyBorder="1" fontId="10" applyFont="1" fillId="2" applyFill="1" applyAlignment="1">
      <alignment horizontal="right"/>
    </xf>
    <xf xfId="0" numFmtId="0" borderId="26" applyBorder="1" fontId="10" applyFont="1" fillId="2" applyFill="1" applyAlignment="1">
      <alignment horizontal="left"/>
    </xf>
    <xf xfId="0" numFmtId="0" borderId="21" applyBorder="1" fontId="2" applyFont="1" fillId="2" applyFill="1" applyAlignment="1">
      <alignment horizontal="left"/>
    </xf>
    <xf xfId="0" numFmtId="167" applyNumberFormat="1" borderId="22" applyBorder="1" fontId="10" applyFont="1" fillId="2" applyFill="1" applyAlignment="1">
      <alignment horizontal="right"/>
    </xf>
    <xf xfId="0" numFmtId="0" borderId="23" applyBorder="1" fontId="10" applyFont="1" fillId="2" applyFill="1" applyAlignment="1">
      <alignment horizontal="left"/>
    </xf>
    <xf xfId="0" numFmtId="0" borderId="1" applyBorder="1" fontId="8" applyFont="1" fillId="3" applyFill="1" applyAlignment="1">
      <alignment horizontal="left"/>
    </xf>
    <xf xfId="0" numFmtId="0" borderId="14" applyBorder="1" fontId="24" applyFont="1" fillId="3" applyFill="1" applyAlignment="1">
      <alignment horizontal="left"/>
    </xf>
    <xf xfId="0" numFmtId="167" applyNumberFormat="1" borderId="3" applyBorder="1" fontId="24" applyFont="1" fillId="3" applyFill="1" applyAlignment="1">
      <alignment horizontal="left"/>
    </xf>
    <xf xfId="0" numFmtId="0" borderId="17" applyBorder="1" fontId="24" applyFont="1" fillId="3" applyFill="1" applyAlignment="1">
      <alignment horizontal="left"/>
    </xf>
    <xf xfId="0" numFmtId="0" borderId="5" applyBorder="1" fontId="24" applyFont="1" fillId="3" applyFill="1" applyAlignment="1">
      <alignment horizontal="left"/>
    </xf>
    <xf xfId="0" numFmtId="0" borderId="6" applyBorder="1" fontId="24" applyFont="1" fillId="3" applyFill="1" applyAlignment="1">
      <alignment horizontal="left"/>
    </xf>
    <xf xfId="0" numFmtId="0" borderId="9" applyBorder="1" fontId="19" applyFont="1" fillId="3" applyFill="1" applyAlignment="1">
      <alignment horizontal="left"/>
    </xf>
    <xf xfId="0" numFmtId="0" borderId="1" applyBorder="1" fontId="23" applyFont="1" fillId="3" applyFill="1" applyAlignment="1">
      <alignment horizontal="left"/>
    </xf>
    <xf xfId="0" numFmtId="0" borderId="9" applyBorder="1" fontId="3" applyFont="1" fillId="3" applyFill="1" applyAlignment="1">
      <alignment horizontal="left"/>
    </xf>
    <xf xfId="0" numFmtId="4" applyNumberFormat="1" borderId="1" applyBorder="1" fontId="4" applyFont="1" fillId="14" applyFill="1" applyAlignment="1">
      <alignment horizontal="right"/>
    </xf>
    <xf xfId="0" numFmtId="0" borderId="13" applyBorder="1" fontId="3" applyFont="1" fillId="3" applyFill="1" applyAlignment="1">
      <alignment horizontal="left"/>
    </xf>
    <xf xfId="0" numFmtId="0" borderId="2" applyBorder="1" fontId="4" applyFont="1" fillId="14" applyFill="1" applyAlignment="1">
      <alignment horizontal="left"/>
    </xf>
    <xf xfId="0" numFmtId="0" borderId="12" applyBorder="1" fontId="3" applyFont="1" fillId="3" applyFill="1" applyAlignment="1">
      <alignment horizontal="left"/>
    </xf>
    <xf xfId="0" numFmtId="0" borderId="1" applyBorder="1" fontId="4" applyFont="1" fillId="14" applyFill="1" applyAlignment="1">
      <alignment horizontal="center"/>
    </xf>
    <xf xfId="0" numFmtId="167" applyNumberFormat="1" borderId="1" applyBorder="1" fontId="24" applyFont="1" fillId="14" applyFill="1" applyAlignment="1">
      <alignment horizontal="right"/>
    </xf>
    <xf xfId="0" numFmtId="0" borderId="5" applyBorder="1" fontId="20" applyFont="1" fillId="3" applyFill="1" applyAlignment="1">
      <alignment horizontal="left"/>
    </xf>
    <xf xfId="0" numFmtId="0" borderId="6" applyBorder="1" fontId="10" applyFont="1" fillId="3" applyFill="1" applyAlignment="1">
      <alignment horizontal="left"/>
    </xf>
    <xf xfId="0" numFmtId="0" borderId="1" applyBorder="1" fontId="36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right"/>
    </xf>
    <xf xfId="0" numFmtId="167" applyNumberFormat="1" borderId="1" applyBorder="1" fontId="2" applyFont="1" fillId="3" applyFill="1" applyAlignment="1">
      <alignment horizontal="right"/>
    </xf>
    <xf xfId="0" numFmtId="0" borderId="1" applyBorder="1" fontId="4" applyFont="1" fillId="3" applyFill="1" applyAlignment="1">
      <alignment horizontal="right"/>
    </xf>
    <xf xfId="0" numFmtId="167" applyNumberFormat="1" borderId="1" applyBorder="1" fontId="4" applyFont="1" fillId="3" applyFill="1" applyAlignment="1">
      <alignment horizontal="right"/>
    </xf>
    <xf xfId="0" numFmtId="4" applyNumberFormat="1" borderId="1" applyBorder="1" fontId="24" applyFont="1" fillId="3" applyFill="1" applyAlignment="1">
      <alignment horizontal="right"/>
    </xf>
    <xf xfId="0" numFmtId="4" applyNumberFormat="1" borderId="1" applyBorder="1" fontId="4" applyFont="1" fillId="3" applyFill="1" applyAlignment="1">
      <alignment horizontal="right"/>
    </xf>
    <xf xfId="0" numFmtId="0" borderId="1" applyBorder="1" fontId="4" applyFont="1" fillId="3" applyFill="1" applyAlignment="1">
      <alignment horizontal="center"/>
    </xf>
    <xf xfId="0" numFmtId="167" applyNumberFormat="1" borderId="1" applyBorder="1" fontId="4" applyFont="1" fillId="3" applyFill="1" applyAlignment="1">
      <alignment horizontal="left"/>
    </xf>
    <xf xfId="0" numFmtId="4" applyNumberFormat="1" borderId="11" applyBorder="1" fontId="2" applyFont="1" fillId="0" applyAlignment="1">
      <alignment horizontal="right"/>
    </xf>
    <xf xfId="0" numFmtId="4" applyNumberFormat="1" borderId="11" applyBorder="1" fontId="24" applyFont="1" fillId="0" applyAlignment="1">
      <alignment horizontal="right"/>
    </xf>
    <xf xfId="0" numFmtId="4" applyNumberFormat="1" borderId="11" applyBorder="1" fontId="3" applyFont="1" fillId="0" applyAlignment="1">
      <alignment horizontal="right"/>
    </xf>
    <xf xfId="0" numFmtId="4" applyNumberFormat="1" borderId="11" applyBorder="1" fontId="4" applyFont="1" fillId="0" applyAlignment="1">
      <alignment horizontal="right"/>
    </xf>
    <xf xfId="0" numFmtId="4" applyNumberFormat="1" borderId="11" applyBorder="1" fontId="1" applyFont="1" fillId="0" applyAlignment="1">
      <alignment horizontal="right"/>
    </xf>
    <xf xfId="0" numFmtId="167" applyNumberFormat="1" borderId="11" applyBorder="1" fontId="2" applyFont="1" fillId="0" applyAlignment="1">
      <alignment horizontal="left"/>
    </xf>
    <xf xfId="0" numFmtId="167" applyNumberFormat="1" borderId="11" applyBorder="1" fontId="4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4" applyNumberFormat="1" borderId="3" applyBorder="1" fontId="3" applyFont="1" fillId="3" applyFill="1" applyAlignment="1">
      <alignment horizontal="left"/>
    </xf>
    <xf xfId="0" numFmtId="4" applyNumberFormat="1" borderId="1" applyBorder="1" fontId="3" applyFont="1" fillId="14" applyFill="1" applyAlignment="1">
      <alignment horizontal="left"/>
    </xf>
    <xf xfId="0" numFmtId="4" applyNumberFormat="1" borderId="1" applyBorder="1" fontId="27" applyFont="1" fillId="14" applyFill="1" applyAlignment="1">
      <alignment horizontal="left"/>
    </xf>
    <xf xfId="0" numFmtId="4" applyNumberFormat="1" borderId="9" applyBorder="1" fontId="24" applyFont="1" fillId="3" applyFill="1" applyAlignment="1">
      <alignment horizontal="center"/>
    </xf>
    <xf xfId="0" numFmtId="4" applyNumberFormat="1" borderId="1" applyBorder="1" fontId="27" applyFont="1" fillId="14" applyFill="1" applyAlignment="1">
      <alignment horizontal="right"/>
    </xf>
    <xf xfId="0" numFmtId="4" applyNumberFormat="1" borderId="9" applyBorder="1" fontId="24" applyFont="1" fillId="3" applyFill="1" applyAlignment="1">
      <alignment horizontal="right"/>
    </xf>
    <xf xfId="0" numFmtId="3" applyNumberFormat="1" borderId="9" applyBorder="1" fontId="24" applyFont="1" fillId="3" applyFill="1" applyAlignment="1">
      <alignment horizontal="right"/>
    </xf>
    <xf xfId="0" numFmtId="4" applyNumberFormat="1" borderId="9" applyBorder="1" fontId="2" applyFont="1" fillId="15" applyFill="1" applyAlignment="1">
      <alignment horizontal="right"/>
    </xf>
    <xf xfId="0" numFmtId="4" applyNumberFormat="1" borderId="8" applyBorder="1" fontId="1" applyFont="1" fillId="16" applyFill="1" applyAlignment="1">
      <alignment horizontal="right"/>
    </xf>
    <xf xfId="0" numFmtId="4" applyNumberFormat="1" borderId="3" applyBorder="1" fontId="4" applyFont="1" fillId="14" applyFill="1" applyAlignment="1">
      <alignment horizontal="right"/>
    </xf>
    <xf xfId="0" numFmtId="0" borderId="9" applyBorder="1" fontId="3" applyFont="1" fillId="0" applyAlignment="1">
      <alignment horizontal="left"/>
    </xf>
    <xf xfId="0" numFmtId="0" borderId="9" applyBorder="1" fontId="24" applyFont="1" fillId="0" applyAlignment="1">
      <alignment horizontal="right"/>
    </xf>
    <xf xfId="0" numFmtId="4" applyNumberFormat="1" borderId="1" applyBorder="1" fontId="24" applyFont="1" fillId="14" applyFill="1" applyAlignment="1">
      <alignment horizontal="left"/>
    </xf>
    <xf xfId="0" numFmtId="4" applyNumberFormat="1" borderId="1" applyBorder="1" fontId="4" applyFont="1" fillId="3" applyFill="1" applyAlignment="1">
      <alignment horizontal="left"/>
    </xf>
    <xf xfId="0" numFmtId="4" applyNumberFormat="1" borderId="1" applyBorder="1" fontId="10" applyFont="1" fillId="3" applyFill="1" applyAlignment="1">
      <alignment horizontal="center"/>
    </xf>
    <xf xfId="0" numFmtId="0" borderId="20" applyBorder="1" fontId="3" applyFont="1" fillId="3" applyFill="1" applyAlignment="1">
      <alignment horizontal="left"/>
    </xf>
    <xf xfId="0" numFmtId="4" applyNumberFormat="1" borderId="22" applyBorder="1" fontId="20" applyFont="1" fillId="2" applyFill="1" applyAlignment="1">
      <alignment horizontal="left"/>
    </xf>
    <xf xfId="0" numFmtId="0" borderId="23" applyBorder="1" fontId="1" applyFont="1" fillId="2" applyFill="1" applyAlignment="1">
      <alignment horizontal="left"/>
    </xf>
    <xf xfId="0" numFmtId="1" applyNumberFormat="1" borderId="9" applyBorder="1" fontId="24" applyFont="1" fillId="3" applyFill="1" applyAlignment="1">
      <alignment horizontal="left"/>
    </xf>
    <xf xfId="0" numFmtId="4" applyNumberFormat="1" borderId="1" applyBorder="1" fontId="3" applyFont="1" fillId="14" applyFill="1" applyAlignment="1">
      <alignment horizontal="right"/>
    </xf>
    <xf xfId="0" numFmtId="0" borderId="12" applyBorder="1" fontId="24" applyFont="1" fillId="3" applyFill="1" applyAlignment="1">
      <alignment horizontal="right"/>
    </xf>
    <xf xfId="0" numFmtId="4" applyNumberFormat="1" borderId="1" applyBorder="1" fontId="20" applyFont="1" fillId="3" applyFill="1" applyAlignment="1">
      <alignment horizontal="left"/>
    </xf>
    <xf xfId="0" numFmtId="4" applyNumberFormat="1" borderId="1" applyBorder="1" fontId="10" applyFont="1" fillId="3" applyFill="1" applyAlignment="1">
      <alignment horizontal="left"/>
    </xf>
    <xf xfId="0" numFmtId="4" applyNumberFormat="1" borderId="23" applyBorder="1" fontId="10" applyFont="1" fillId="2" applyFill="1" applyAlignment="1">
      <alignment horizontal="right"/>
    </xf>
    <xf xfId="0" numFmtId="4" applyNumberFormat="1" borderId="1" applyBorder="1" fontId="24" applyFont="1" fillId="3" applyFill="1" applyAlignment="1">
      <alignment horizontal="left"/>
    </xf>
    <xf xfId="0" numFmtId="1" applyNumberFormat="1" borderId="1" applyBorder="1" fontId="24" applyFont="1" fillId="3" applyFill="1" applyAlignment="1">
      <alignment horizontal="left"/>
    </xf>
    <xf xfId="0" numFmtId="4" applyNumberFormat="1" borderId="11" applyBorder="1" fontId="24" applyFont="1" fillId="0" applyAlignment="1">
      <alignment horizontal="left"/>
    </xf>
    <xf xfId="0" numFmtId="1" applyNumberFormat="1" borderId="11" applyBorder="1" fontId="24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0" borderId="1" applyBorder="1" fontId="3" applyFont="1" fillId="3" applyFill="1" applyAlignment="1">
      <alignment horizontal="center"/>
    </xf>
    <xf xfId="0" numFmtId="3" applyNumberFormat="1" borderId="3" applyBorder="1" fontId="3" applyFont="1" fillId="3" applyFill="1" applyAlignment="1">
      <alignment horizontal="left"/>
    </xf>
    <xf xfId="0" numFmtId="0" borderId="11" applyBorder="1" fontId="37" applyFont="1" fillId="0" applyAlignment="1">
      <alignment horizontal="left"/>
    </xf>
    <xf xfId="0" numFmtId="3" applyNumberFormat="1" borderId="1" applyBorder="1" fontId="3" applyFont="1" fillId="14" applyFill="1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1" applyNumberFormat="1" borderId="9" applyBorder="1" fontId="19" applyFont="1" fillId="0" applyAlignment="1">
      <alignment horizontal="left"/>
    </xf>
    <xf xfId="0" numFmtId="3" applyNumberFormat="1" borderId="9" applyBorder="1" fontId="3" applyFont="1" fillId="3" applyFill="1" applyAlignment="1">
      <alignment horizontal="left"/>
    </xf>
    <xf xfId="0" numFmtId="3" applyNumberFormat="1" borderId="1" applyBorder="1" fontId="4" applyFont="1" fillId="14" applyFill="1" applyAlignment="1">
      <alignment horizontal="left"/>
    </xf>
    <xf xfId="0" numFmtId="3" applyNumberFormat="1" borderId="9" applyBorder="1" fontId="2" applyFont="1" fillId="17" applyFill="1" applyAlignment="1">
      <alignment horizontal="right"/>
    </xf>
    <xf xfId="0" numFmtId="3" applyNumberFormat="1" borderId="9" applyBorder="1" fontId="1" applyFont="1" fillId="16" applyFill="1" applyAlignment="1">
      <alignment horizontal="right"/>
    </xf>
    <xf xfId="0" numFmtId="3" applyNumberFormat="1" borderId="10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FF6309"/>
      </a:accent1>
      <a:accent2>
        <a:srgbClr val="FF9501"/>
      </a:accent2>
      <a:accent3>
        <a:srgbClr val="FFB964"/>
      </a:accent3>
      <a:accent4>
        <a:srgbClr val="FFC404"/>
      </a:accent4>
      <a:accent5>
        <a:srgbClr val="FBE002"/>
      </a:accent5>
      <a:accent6>
        <a:srgbClr val="FFFE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3.7192857142857143" customWidth="1" bestFit="1"/>
    <col min="2" max="2" style="73" width="4.2907142857142855" customWidth="1" bestFit="1"/>
    <col min="3" max="3" style="73" width="3.2907142857142855" customWidth="1" bestFit="1"/>
    <col min="4" max="4" style="73" width="27.14785714285714" customWidth="1" bestFit="1"/>
    <col min="5" max="5" style="73" width="0.14785714285714285" customWidth="1" bestFit="1"/>
    <col min="6" max="6" style="73" width="22.290714285714284" customWidth="1" bestFit="1"/>
    <col min="7" max="7" style="232" width="21.433571428571426" customWidth="1" bestFit="1"/>
    <col min="8" max="8" style="73" width="17.433571428571426" customWidth="1" bestFit="1"/>
    <col min="9" max="9" style="73" width="6.719285714285714" customWidth="1" bestFit="1"/>
    <col min="10" max="10" style="73" width="4.005" customWidth="1" bestFit="1"/>
    <col min="11" max="11" style="73" width="4.433571428571429" customWidth="1" bestFit="1"/>
    <col min="12" max="12" style="73" width="6.2907142857142855" customWidth="1" bestFit="1"/>
    <col min="13" max="13" style="73" width="8.862142857142858" customWidth="1" bestFit="1"/>
    <col min="14" max="14" style="73" width="9.576428571428572" customWidth="1" bestFit="1"/>
    <col min="15" max="15" style="73" width="5.862142857142857" customWidth="1" bestFit="1"/>
    <col min="16" max="16" style="73" width="8.862142857142858" customWidth="1" bestFit="1"/>
    <col min="17" max="17" style="73" width="8.862142857142858" customWidth="1" bestFit="1"/>
    <col min="18" max="18" style="73" width="9.719285714285713" customWidth="1" bestFit="1"/>
    <col min="19" max="19" style="73" width="9.862142857142858" customWidth="1" bestFit="1"/>
    <col min="20" max="20" style="73" width="8.862142857142858" customWidth="1" bestFit="1"/>
    <col min="21" max="21" style="73" width="8.862142857142858" customWidth="1" bestFit="1"/>
    <col min="22" max="22" style="73" width="8.862142857142858" customWidth="1" bestFit="1"/>
    <col min="23" max="23" style="73" width="8.862142857142858" customWidth="1" bestFit="1"/>
    <col min="24" max="24" style="73" width="8.862142857142858" customWidth="1" bestFit="1"/>
    <col min="25" max="25" style="73" width="14.147857142857141" customWidth="1" bestFit="1"/>
    <col min="26" max="26" style="73" width="14.147857142857141" customWidth="1" bestFit="1"/>
  </cols>
  <sheetData>
    <row x14ac:dyDescent="0.25" r="1" customHeight="1" ht="19.5">
      <c r="A1" s="2"/>
      <c r="B1" s="1" t="s">
        <v>0</v>
      </c>
      <c r="C1" s="2"/>
      <c r="D1" s="2"/>
      <c r="E1" s="2"/>
      <c r="F1" s="2"/>
      <c r="G1" s="19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2"/>
      <c r="B2" s="2"/>
      <c r="C2" s="2"/>
      <c r="D2" s="2"/>
      <c r="E2" s="2"/>
      <c r="F2" s="2"/>
      <c r="G2" s="19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2"/>
      <c r="B3" s="2"/>
      <c r="C3" s="2"/>
      <c r="D3" s="2"/>
      <c r="E3" s="2"/>
      <c r="F3" s="2"/>
      <c r="G3" s="19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2"/>
      <c r="B4" s="2"/>
      <c r="C4" s="2"/>
      <c r="D4" s="2"/>
      <c r="E4" s="2"/>
      <c r="F4" s="2"/>
      <c r="G4" s="19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9.5">
      <c r="A5" s="2"/>
      <c r="B5" s="2"/>
      <c r="C5" s="2"/>
      <c r="D5" s="2"/>
      <c r="E5" s="2"/>
      <c r="F5" s="2"/>
      <c r="G5" s="19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3.949999999999998">
      <c r="A6" s="2"/>
      <c r="B6" s="2"/>
      <c r="C6" s="2"/>
      <c r="D6" s="2"/>
      <c r="E6" s="2"/>
      <c r="F6" s="2"/>
      <c r="G6" s="196"/>
      <c r="H6" s="2"/>
      <c r="I6" s="2"/>
      <c r="J6" s="2"/>
      <c r="K6" s="2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3.949999999999998">
      <c r="A7" s="2"/>
      <c r="B7" s="2"/>
      <c r="C7" s="2"/>
      <c r="D7" s="2"/>
      <c r="E7" s="2"/>
      <c r="F7" s="2"/>
      <c r="G7" s="196"/>
      <c r="H7" s="2"/>
      <c r="I7" s="2"/>
      <c r="J7" s="2"/>
      <c r="K7" s="2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3.949999999999998">
      <c r="A8" s="2"/>
      <c r="B8" s="2"/>
      <c r="C8" s="2"/>
      <c r="D8" s="2"/>
      <c r="E8" s="2"/>
      <c r="F8" s="2"/>
      <c r="G8" s="196"/>
      <c r="H8" s="2"/>
      <c r="I8" s="2"/>
      <c r="J8" s="2"/>
      <c r="K8" s="2"/>
      <c r="L8" s="8"/>
      <c r="M8" s="2"/>
      <c r="N8" s="2"/>
      <c r="O8" s="2"/>
      <c r="P8" s="2"/>
      <c r="Q8" s="255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3.949999999999998">
      <c r="A9" s="2"/>
      <c r="B9" s="2"/>
      <c r="C9" s="2"/>
      <c r="D9" s="2"/>
      <c r="E9" s="2"/>
      <c r="F9" s="2"/>
      <c r="G9" s="196"/>
      <c r="H9" s="2"/>
      <c r="I9" s="2"/>
      <c r="J9" s="2"/>
      <c r="K9" s="2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3.949999999999998">
      <c r="A10" s="2"/>
      <c r="B10" s="2"/>
      <c r="C10" s="2"/>
      <c r="D10" s="2"/>
      <c r="E10" s="2"/>
      <c r="F10" s="2"/>
      <c r="G10" s="196"/>
      <c r="H10" s="2"/>
      <c r="I10" s="2"/>
      <c r="J10" s="2"/>
      <c r="K10" s="2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3.949999999999998">
      <c r="A11" s="2"/>
      <c r="B11" s="2"/>
      <c r="C11" s="2"/>
      <c r="D11" s="2"/>
      <c r="E11" s="2"/>
      <c r="F11" s="2"/>
      <c r="G11" s="196"/>
      <c r="H11" s="2"/>
      <c r="I11" s="2"/>
      <c r="J11" s="2"/>
      <c r="K11" s="2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55"/>
    </row>
    <row x14ac:dyDescent="0.25" r="12" customHeight="1" ht="13.949999999999998">
      <c r="A12" s="2"/>
      <c r="B12" s="2"/>
      <c r="C12" s="2"/>
      <c r="D12" s="2"/>
      <c r="E12" s="2"/>
      <c r="F12" s="2"/>
      <c r="G12" s="196"/>
      <c r="H12" s="2"/>
      <c r="I12" s="2"/>
      <c r="J12" s="2"/>
      <c r="K12" s="2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3.199999999999998">
      <c r="A13" s="2"/>
      <c r="B13" s="2"/>
      <c r="C13" s="2"/>
      <c r="D13" s="2"/>
      <c r="E13" s="2"/>
      <c r="F13" s="2"/>
      <c r="G13" s="19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2"/>
      <c r="C14" s="2"/>
      <c r="D14" s="2"/>
      <c r="E14" s="2"/>
      <c r="F14" s="2"/>
      <c r="G14" s="196"/>
      <c r="H14" s="2"/>
      <c r="I14" s="2"/>
      <c r="J14" s="2"/>
      <c r="K14" s="2"/>
      <c r="L14" s="2"/>
      <c r="M14" s="2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5.6">
      <c r="A15" s="2"/>
      <c r="B15" s="2"/>
      <c r="C15" s="2"/>
      <c r="D15" s="2"/>
      <c r="E15" s="2"/>
      <c r="F15" s="2"/>
      <c r="G15" s="196"/>
      <c r="H15" s="2"/>
      <c r="I15" s="2"/>
      <c r="J15" s="2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5.6">
      <c r="A16" s="2"/>
      <c r="B16" s="2"/>
      <c r="C16" s="2"/>
      <c r="D16" s="2"/>
      <c r="E16" s="2"/>
      <c r="F16" s="2"/>
      <c r="G16" s="196"/>
      <c r="H16" s="2"/>
      <c r="I16" s="2"/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5.6">
      <c r="A17" s="2"/>
      <c r="B17" s="2"/>
      <c r="C17" s="2"/>
      <c r="D17" s="2"/>
      <c r="E17" s="2"/>
      <c r="F17" s="2"/>
      <c r="G17" s="196"/>
      <c r="H17" s="2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5.6">
      <c r="A18" s="2"/>
      <c r="B18" s="2"/>
      <c r="C18" s="2"/>
      <c r="D18" s="2"/>
      <c r="E18" s="2"/>
      <c r="F18" s="2"/>
      <c r="G18" s="196"/>
      <c r="H18" s="2"/>
      <c r="I18" s="2"/>
      <c r="J18" s="2"/>
      <c r="K18" s="2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5.6">
      <c r="A19" s="2"/>
      <c r="B19" s="2"/>
      <c r="C19" s="2"/>
      <c r="D19" s="2"/>
      <c r="E19" s="2"/>
      <c r="F19" s="2"/>
      <c r="G19" s="196"/>
      <c r="H19" s="2"/>
      <c r="I19" s="2"/>
      <c r="J19" s="2"/>
      <c r="K19" s="2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2"/>
      <c r="D20" s="2"/>
      <c r="E20" s="2"/>
      <c r="F20" s="2"/>
      <c r="G20" s="196"/>
      <c r="H20" s="2"/>
      <c r="I20" s="2"/>
      <c r="J20" s="2"/>
      <c r="K20" s="2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9.5">
      <c r="A21" s="2"/>
      <c r="B21" s="2"/>
      <c r="C21" s="2"/>
      <c r="D21" s="386" t="s">
        <v>420</v>
      </c>
      <c r="E21" s="2"/>
      <c r="F21" s="2"/>
      <c r="G21" s="196"/>
      <c r="H21" s="2"/>
      <c r="I21" s="2"/>
      <c r="J21" s="2"/>
      <c r="K21" s="2"/>
      <c r="L21" s="38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98"/>
      <c r="D22" s="108"/>
      <c r="E22" s="108"/>
      <c r="F22" s="108"/>
      <c r="G22" s="388"/>
      <c r="H22" s="108"/>
      <c r="I22" s="108"/>
      <c r="J22" s="300"/>
      <c r="K22" s="2"/>
      <c r="L22" s="38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9.5">
      <c r="A23" s="2"/>
      <c r="B23" s="2"/>
      <c r="C23" s="301"/>
      <c r="D23" s="302"/>
      <c r="E23" s="302"/>
      <c r="F23" s="302"/>
      <c r="G23" s="390"/>
      <c r="H23" s="302"/>
      <c r="I23" s="302"/>
      <c r="J23" s="16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9.5">
      <c r="A24" s="2"/>
      <c r="B24" s="2"/>
      <c r="C24" s="301"/>
      <c r="D24" s="304" t="s">
        <v>421</v>
      </c>
      <c r="E24" s="302"/>
      <c r="F24" s="302"/>
      <c r="G24" s="390"/>
      <c r="H24" s="302"/>
      <c r="I24" s="302"/>
      <c r="J24" s="16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9.5">
      <c r="A25" s="2"/>
      <c r="B25" s="2"/>
      <c r="C25" s="301"/>
      <c r="D25" s="253" t="s">
        <v>422</v>
      </c>
      <c r="E25" s="302"/>
      <c r="F25" s="302"/>
      <c r="G25" s="390"/>
      <c r="H25" s="302"/>
      <c r="I25" s="302"/>
      <c r="J25" s="16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9.5">
      <c r="A26" s="2"/>
      <c r="B26" s="2"/>
      <c r="C26" s="301"/>
      <c r="D26" s="244" t="s">
        <v>423</v>
      </c>
      <c r="E26" s="244"/>
      <c r="F26" s="244"/>
      <c r="G26" s="391"/>
      <c r="H26" s="253" t="s">
        <v>424</v>
      </c>
      <c r="I26" s="302"/>
      <c r="J26" s="16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9.5">
      <c r="A27" s="2"/>
      <c r="B27" s="2"/>
      <c r="C27" s="301"/>
      <c r="D27" s="246" t="s">
        <v>425</v>
      </c>
      <c r="E27" s="302"/>
      <c r="F27" s="302"/>
      <c r="G27" s="392"/>
      <c r="H27" s="241" t="s">
        <v>426</v>
      </c>
      <c r="I27" s="302"/>
      <c r="J27" s="16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9.5">
      <c r="A28" s="2"/>
      <c r="B28" s="2"/>
      <c r="C28" s="301"/>
      <c r="D28" s="302" t="s">
        <v>427</v>
      </c>
      <c r="E28" s="302"/>
      <c r="F28" s="302"/>
      <c r="G28" s="393"/>
      <c r="H28" s="253" t="s">
        <v>327</v>
      </c>
      <c r="I28" s="302"/>
      <c r="J28" s="16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9.5">
      <c r="A29" s="2"/>
      <c r="B29" s="2"/>
      <c r="C29" s="301"/>
      <c r="D29" s="302"/>
      <c r="E29" s="302"/>
      <c r="F29" s="302"/>
      <c r="G29" s="390"/>
      <c r="H29" s="302"/>
      <c r="I29" s="302"/>
      <c r="J29" s="16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9.5">
      <c r="A30" s="2"/>
      <c r="B30" s="2"/>
      <c r="C30" s="301"/>
      <c r="D30" s="253" t="s">
        <v>428</v>
      </c>
      <c r="E30" s="302"/>
      <c r="F30" s="302"/>
      <c r="G30" s="390"/>
      <c r="H30" s="302"/>
      <c r="I30" s="302"/>
      <c r="J30" s="1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9.5">
      <c r="A31" s="2"/>
      <c r="B31" s="2"/>
      <c r="C31" s="301"/>
      <c r="D31" s="302"/>
      <c r="E31" s="302"/>
      <c r="F31" s="302"/>
      <c r="G31" s="390"/>
      <c r="H31" s="302"/>
      <c r="I31" s="302"/>
      <c r="J31" s="16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9.5">
      <c r="A32" s="2"/>
      <c r="B32" s="2"/>
      <c r="C32" s="301"/>
      <c r="D32" s="302" t="s">
        <v>429</v>
      </c>
      <c r="E32" s="302"/>
      <c r="F32" s="253"/>
      <c r="G32" s="391"/>
      <c r="H32" s="253" t="s">
        <v>430</v>
      </c>
      <c r="I32" s="302"/>
      <c r="J32" s="16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9.5">
      <c r="A33" s="2"/>
      <c r="B33" s="2"/>
      <c r="C33" s="301"/>
      <c r="D33" s="302"/>
      <c r="E33" s="302"/>
      <c r="F33" s="302"/>
      <c r="G33" s="394"/>
      <c r="H33" s="302"/>
      <c r="I33" s="302"/>
      <c r="J33" s="16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9.5">
      <c r="A34" s="2"/>
      <c r="B34" s="2"/>
      <c r="C34" s="301"/>
      <c r="D34" s="302" t="s">
        <v>431</v>
      </c>
      <c r="E34" s="302"/>
      <c r="F34" s="302"/>
      <c r="G34" s="395">
        <f>(G28*(G32/100))</f>
      </c>
      <c r="H34" s="253" t="s">
        <v>327</v>
      </c>
      <c r="I34" s="302"/>
      <c r="J34" s="16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9.5">
      <c r="A35" s="2"/>
      <c r="B35" s="2"/>
      <c r="C35" s="301"/>
      <c r="D35" s="302"/>
      <c r="E35" s="253" t="s">
        <v>432</v>
      </c>
      <c r="F35" s="302"/>
      <c r="G35" s="396">
        <f>G28-(G28*(G32/100))</f>
      </c>
      <c r="H35" s="253" t="s">
        <v>327</v>
      </c>
      <c r="I35" s="246"/>
      <c r="J35" s="16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9.5">
      <c r="A36" s="2"/>
      <c r="B36" s="2"/>
      <c r="C36" s="301"/>
      <c r="D36" s="302"/>
      <c r="E36" s="302"/>
      <c r="F36" s="302"/>
      <c r="G36" s="390"/>
      <c r="H36" s="302"/>
      <c r="I36" s="302"/>
      <c r="J36" s="16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9.5">
      <c r="A37" s="2"/>
      <c r="B37" s="2"/>
      <c r="C37" s="132"/>
      <c r="D37" s="54"/>
      <c r="E37" s="54"/>
      <c r="F37" s="54"/>
      <c r="G37" s="397"/>
      <c r="H37" s="54"/>
      <c r="I37" s="54"/>
      <c r="J37" s="39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9.5">
      <c r="A38" s="2"/>
      <c r="B38" s="2"/>
      <c r="C38" s="2"/>
      <c r="D38" s="2"/>
      <c r="E38" s="2"/>
      <c r="F38" s="2"/>
      <c r="G38" s="19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9.5">
      <c r="A39" s="2"/>
      <c r="B39" s="2"/>
      <c r="C39" s="2"/>
      <c r="D39" s="2"/>
      <c r="E39" s="2"/>
      <c r="F39" s="2"/>
      <c r="G39" s="19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9.5">
      <c r="A40" s="2"/>
      <c r="B40" s="2"/>
      <c r="C40" s="2"/>
      <c r="D40" s="2"/>
      <c r="E40" s="2"/>
      <c r="F40" s="2"/>
      <c r="G40" s="19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2"/>
      <c r="B41" s="2"/>
      <c r="C41" s="2"/>
      <c r="D41" s="2"/>
      <c r="E41" s="2"/>
      <c r="F41" s="2"/>
      <c r="G41" s="19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2"/>
      <c r="B42" s="2"/>
      <c r="C42" s="2"/>
      <c r="D42" s="2"/>
      <c r="E42" s="2"/>
      <c r="F42" s="2"/>
      <c r="G42" s="19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2"/>
      <c r="B43" s="2"/>
      <c r="C43" s="2"/>
      <c r="D43" s="2"/>
      <c r="E43" s="2"/>
      <c r="F43" s="2"/>
      <c r="G43" s="19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2"/>
      <c r="B44" s="2"/>
      <c r="C44" s="2"/>
      <c r="D44" s="2"/>
      <c r="E44" s="2"/>
      <c r="F44" s="2"/>
      <c r="G44" s="19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2"/>
      <c r="B45" s="2"/>
      <c r="C45" s="2"/>
      <c r="D45" s="2"/>
      <c r="E45" s="2"/>
      <c r="F45" s="2"/>
      <c r="G45" s="19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9.5">
      <c r="A46" s="2"/>
      <c r="B46" s="2"/>
      <c r="C46" s="2"/>
      <c r="D46" s="2"/>
      <c r="E46" s="2"/>
      <c r="F46" s="2"/>
      <c r="G46" s="19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2"/>
      <c r="C47" s="6"/>
      <c r="D47" s="6"/>
      <c r="E47" s="6"/>
      <c r="F47" s="6"/>
      <c r="G47" s="399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6"/>
      <c r="D48" s="6"/>
      <c r="E48" s="6"/>
      <c r="F48" s="6"/>
      <c r="G48" s="399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2"/>
      <c r="C49" s="6"/>
      <c r="D49" s="6"/>
      <c r="E49" s="6"/>
      <c r="F49" s="6"/>
      <c r="G49" s="399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6"/>
      <c r="D50" s="6"/>
      <c r="E50" s="6"/>
      <c r="F50" s="6"/>
      <c r="G50" s="399"/>
      <c r="H50" s="6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2"/>
      <c r="C51" s="6"/>
      <c r="D51" s="6"/>
      <c r="E51" s="6"/>
      <c r="F51" s="6"/>
      <c r="G51" s="399"/>
      <c r="H51" s="6"/>
      <c r="I51" s="6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6"/>
      <c r="D52" s="6"/>
      <c r="E52" s="6"/>
      <c r="F52" s="6"/>
      <c r="G52" s="399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6"/>
      <c r="D53" s="6"/>
      <c r="E53" s="6"/>
      <c r="F53" s="6"/>
      <c r="G53" s="399"/>
      <c r="H53" s="6"/>
      <c r="I53" s="6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9.5">
      <c r="A54" s="2"/>
      <c r="B54" s="2"/>
      <c r="C54" s="6"/>
      <c r="D54" s="6"/>
      <c r="E54" s="6"/>
      <c r="F54" s="6"/>
      <c r="G54" s="399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9.5">
      <c r="A55" s="2"/>
      <c r="B55" s="2"/>
      <c r="C55" s="6"/>
      <c r="D55" s="6"/>
      <c r="E55" s="6"/>
      <c r="F55" s="6"/>
      <c r="G55" s="399"/>
      <c r="H55" s="6"/>
      <c r="I55" s="6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9.5">
      <c r="A56" s="2"/>
      <c r="B56" s="2"/>
      <c r="C56" s="6"/>
      <c r="D56" s="6"/>
      <c r="E56" s="6"/>
      <c r="F56" s="6"/>
      <c r="G56" s="399"/>
      <c r="H56" s="6"/>
      <c r="I56" s="6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2"/>
      <c r="C57" s="6"/>
      <c r="D57" s="6"/>
      <c r="E57" s="6"/>
      <c r="F57" s="6"/>
      <c r="G57" s="399"/>
      <c r="H57" s="6"/>
      <c r="I57" s="6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2"/>
      <c r="C58" s="6"/>
      <c r="D58" s="6"/>
      <c r="E58" s="6"/>
      <c r="F58" s="6"/>
      <c r="G58" s="399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6"/>
      <c r="D59" s="6"/>
      <c r="E59" s="6"/>
      <c r="F59" s="6"/>
      <c r="G59" s="399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3" width="3.5764285714285715" customWidth="1" bestFit="1"/>
    <col min="2" max="2" style="73" width="3.5764285714285715" customWidth="1" bestFit="1"/>
    <col min="3" max="3" style="73" width="42.14785714285715" customWidth="1" bestFit="1"/>
    <col min="4" max="4" style="73" width="22.005" customWidth="1" bestFit="1"/>
    <col min="5" max="5" style="74" width="19.719285714285714" customWidth="1" bestFit="1"/>
    <col min="6" max="6" style="74" width="7.862142857142857" customWidth="1" bestFit="1"/>
    <col min="7" max="7" style="73" width="6.719285714285714" customWidth="1" bestFit="1"/>
    <col min="8" max="8" style="73" width="29.433571428571426" customWidth="1" bestFit="1"/>
    <col min="9" max="9" style="73" width="16.433571428571426" customWidth="1" bestFit="1"/>
    <col min="10" max="10" style="74" width="17.14785714285714" customWidth="1" bestFit="1"/>
    <col min="11" max="11" style="73" width="11.290714285714287" customWidth="1" bestFit="1"/>
    <col min="12" max="12" style="73" width="4.147857142857143" customWidth="1" bestFit="1"/>
    <col min="13" max="13" style="73" width="8.43357142857143" customWidth="1" bestFit="1"/>
    <col min="14" max="14" style="73" width="3.5764285714285715" customWidth="1" bestFit="1"/>
    <col min="15" max="15" style="73" width="14.147857142857141" customWidth="1" bestFit="1"/>
    <col min="16" max="16" style="73" width="14.147857142857141" customWidth="1" bestFit="1"/>
    <col min="17" max="17" style="73" width="14.147857142857141" customWidth="1" bestFit="1"/>
    <col min="18" max="18" style="73" width="14.147857142857141" customWidth="1" bestFit="1"/>
    <col min="19" max="19" style="73" width="14.147857142857141" customWidth="1" bestFit="1"/>
    <col min="20" max="20" style="73" width="14.147857142857141" customWidth="1" bestFit="1"/>
    <col min="21" max="21" style="73" width="14.147857142857141" customWidth="1" bestFit="1"/>
    <col min="22" max="22" style="73" width="14.147857142857141" customWidth="1" bestFit="1"/>
    <col min="23" max="23" style="73" width="14.147857142857141" customWidth="1" bestFit="1"/>
    <col min="24" max="24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3"/>
      <c r="F1" s="3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x14ac:dyDescent="0.25" r="2" customHeight="1" ht="19.5">
      <c r="A2" s="4"/>
      <c r="B2" s="2"/>
      <c r="C2" s="2"/>
      <c r="D2" s="2"/>
      <c r="E2" s="3"/>
      <c r="F2" s="3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x14ac:dyDescent="0.25" r="3" customHeight="1" ht="19.5">
      <c r="A3" s="2"/>
      <c r="B3" s="2"/>
      <c r="C3" s="9" t="s">
        <v>386</v>
      </c>
      <c r="D3" s="2"/>
      <c r="E3" s="3"/>
      <c r="F3" s="3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x14ac:dyDescent="0.25" r="4" customHeight="1" ht="19.5">
      <c r="A4" s="2"/>
      <c r="B4" s="298"/>
      <c r="C4" s="108"/>
      <c r="D4" s="108"/>
      <c r="E4" s="358"/>
      <c r="F4" s="358"/>
      <c r="G4" s="108"/>
      <c r="H4" s="108"/>
      <c r="I4" s="108"/>
      <c r="J4" s="358"/>
      <c r="K4" s="108"/>
      <c r="L4" s="30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x14ac:dyDescent="0.25" r="5" customHeight="1" ht="19.5">
      <c r="A5" s="2"/>
      <c r="B5" s="301"/>
      <c r="C5" s="253" t="s">
        <v>387</v>
      </c>
      <c r="D5" s="302"/>
      <c r="E5" s="359"/>
      <c r="F5" s="359"/>
      <c r="G5" s="302"/>
      <c r="H5" s="246"/>
      <c r="I5" s="302"/>
      <c r="J5" s="359"/>
      <c r="K5" s="302"/>
      <c r="L5" s="16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x14ac:dyDescent="0.25" r="6" customHeight="1" ht="19.5">
      <c r="A6" s="2"/>
      <c r="B6" s="301"/>
      <c r="C6" s="253" t="s">
        <v>388</v>
      </c>
      <c r="D6" s="253" t="s">
        <v>389</v>
      </c>
      <c r="E6" s="243" t="s">
        <v>390</v>
      </c>
      <c r="F6" s="360"/>
      <c r="G6" s="302"/>
      <c r="H6" s="253"/>
      <c r="I6" s="253"/>
      <c r="J6" s="243"/>
      <c r="K6" s="302"/>
      <c r="L6" s="16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x14ac:dyDescent="0.25" r="7" customHeight="1" ht="19.5">
      <c r="A7" s="2"/>
      <c r="B7" s="301"/>
      <c r="C7" s="253" t="s">
        <v>391</v>
      </c>
      <c r="D7" s="331"/>
      <c r="E7" s="361" t="s">
        <v>210</v>
      </c>
      <c r="F7" s="362">
        <f>VLOOKUP(E7,Kertoimet!B126:C130,2,FALSE)/1000*170</f>
      </c>
      <c r="G7" s="302"/>
      <c r="H7" s="253" t="s">
        <v>392</v>
      </c>
      <c r="I7" s="253" t="s">
        <v>393</v>
      </c>
      <c r="J7" s="243" t="s">
        <v>327</v>
      </c>
      <c r="K7" s="246"/>
      <c r="L7" s="16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x14ac:dyDescent="0.25" r="8" customHeight="1" ht="19.5">
      <c r="A8" s="2"/>
      <c r="B8" s="301"/>
      <c r="C8" s="246"/>
      <c r="D8" s="302"/>
      <c r="E8" s="361" t="s">
        <v>231</v>
      </c>
      <c r="F8" s="362">
        <f>VLOOKUP(E8,Kertoimet!B145:C148,2,FALSE)/1000*150</f>
      </c>
      <c r="G8" s="302"/>
      <c r="H8" s="302" t="s">
        <v>394</v>
      </c>
      <c r="I8" s="256"/>
      <c r="J8" s="248">
        <f>(F7/170)*1000*I8</f>
      </c>
      <c r="K8" s="246"/>
      <c r="L8" s="16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x14ac:dyDescent="0.25" r="9" customHeight="1" ht="19.5">
      <c r="A9" s="2"/>
      <c r="B9" s="301"/>
      <c r="C9" s="246"/>
      <c r="D9" s="302"/>
      <c r="E9" s="361" t="s">
        <v>237</v>
      </c>
      <c r="F9" s="362">
        <f>VLOOKUP(E9,Kertoimet!B152:C153,2,FALSE)/1000*105</f>
      </c>
      <c r="G9" s="302"/>
      <c r="H9" s="246" t="s">
        <v>45</v>
      </c>
      <c r="I9" s="256"/>
      <c r="J9" s="248">
        <f>(F13/170)*I9*1000</f>
      </c>
      <c r="K9" s="246"/>
      <c r="L9" s="16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x14ac:dyDescent="0.25" r="10" customHeight="1" ht="19.5">
      <c r="A10" s="2"/>
      <c r="B10" s="301"/>
      <c r="C10" s="246"/>
      <c r="D10" s="302"/>
      <c r="E10" s="361" t="s">
        <v>395</v>
      </c>
      <c r="F10" s="360">
        <f>IF(E10="Ei muuta","0,00",VLOOKUP(E10,Kertoimet!B152:C153,2,FALSE)/1000*105)</f>
      </c>
      <c r="G10" s="302"/>
      <c r="H10" s="246" t="s">
        <v>48</v>
      </c>
      <c r="I10" s="256"/>
      <c r="J10" s="248">
        <f>(F19/170)*I10*1000</f>
      </c>
      <c r="K10" s="246"/>
      <c r="L10" s="16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x14ac:dyDescent="0.25" r="11" customHeight="1" ht="19.5">
      <c r="A11" s="2"/>
      <c r="B11" s="301"/>
      <c r="C11" s="246"/>
      <c r="D11" s="251" t="s">
        <v>330</v>
      </c>
      <c r="E11" s="265">
        <f>D7*(F7+F8+F9+F10)</f>
      </c>
      <c r="F11" s="243" t="s">
        <v>327</v>
      </c>
      <c r="G11" s="302"/>
      <c r="H11" s="302" t="s">
        <v>19</v>
      </c>
      <c r="I11" s="331"/>
      <c r="J11" s="250">
        <f>(F8/150+F14/150+F20/150)/3*I11*1000</f>
      </c>
      <c r="K11" s="246"/>
      <c r="L11" s="16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x14ac:dyDescent="0.25" r="12" customHeight="1" ht="19.5">
      <c r="A12" s="2"/>
      <c r="B12" s="301"/>
      <c r="C12" s="302"/>
      <c r="D12" s="253" t="s">
        <v>389</v>
      </c>
      <c r="E12" s="359"/>
      <c r="F12" s="360"/>
      <c r="G12" s="302"/>
      <c r="H12" s="246" t="s">
        <v>396</v>
      </c>
      <c r="I12" s="247"/>
      <c r="J12" s="250">
        <f>Kertoimet!C178/150*1000*I12</f>
      </c>
      <c r="K12" s="246"/>
      <c r="L12" s="16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x14ac:dyDescent="0.25" r="13" customHeight="1" ht="19.5">
      <c r="A13" s="2"/>
      <c r="B13" s="301"/>
      <c r="C13" s="253" t="s">
        <v>397</v>
      </c>
      <c r="D13" s="307"/>
      <c r="E13" s="361" t="s">
        <v>216</v>
      </c>
      <c r="F13" s="362">
        <f>VLOOKUP(E13,Kertoimet!B133:C136,2,FALSE)/1000*170</f>
      </c>
      <c r="G13" s="302"/>
      <c r="H13" s="246" t="s">
        <v>398</v>
      </c>
      <c r="I13" s="247"/>
      <c r="J13" s="250">
        <f>(Kertoimet!C156+Kertoimet!C157)/2*I13</f>
      </c>
      <c r="K13" s="246"/>
      <c r="L13" s="16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x14ac:dyDescent="0.25" r="14" customHeight="1" ht="19.5">
      <c r="A14" s="2"/>
      <c r="B14" s="301"/>
      <c r="C14" s="246"/>
      <c r="D14" s="302"/>
      <c r="E14" s="361" t="s">
        <v>232</v>
      </c>
      <c r="F14" s="362">
        <f>VLOOKUP(E14,Kertoimet!B145:C148,2,FALSE)/1000*150</f>
      </c>
      <c r="G14" s="302"/>
      <c r="H14" s="302" t="s">
        <v>30</v>
      </c>
      <c r="I14" s="247"/>
      <c r="J14" s="250">
        <f>((Kertoimet!C164+Kertoimet!C172)/2)/150*1000*I14</f>
      </c>
      <c r="K14" s="246"/>
      <c r="L14" s="16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x14ac:dyDescent="0.25" r="15" customHeight="1" ht="19.5">
      <c r="A15" s="2"/>
      <c r="B15" s="301"/>
      <c r="C15" s="246"/>
      <c r="D15" s="302"/>
      <c r="E15" s="361" t="s">
        <v>237</v>
      </c>
      <c r="F15" s="362">
        <f>VLOOKUP(E15,Kertoimet!B152:C153,2,FALSE)/1000*105</f>
      </c>
      <c r="G15" s="302"/>
      <c r="H15" s="302"/>
      <c r="I15" s="251" t="s">
        <v>330</v>
      </c>
      <c r="J15" s="265">
        <f>SUM(J8:J14)</f>
      </c>
      <c r="K15" s="253" t="s">
        <v>327</v>
      </c>
      <c r="L15" s="16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x14ac:dyDescent="0.25" r="16" customHeight="1" ht="19.5">
      <c r="A16" s="2"/>
      <c r="B16" s="301"/>
      <c r="C16" s="246"/>
      <c r="D16" s="302"/>
      <c r="E16" s="361" t="s">
        <v>395</v>
      </c>
      <c r="F16" s="360">
        <f>IF(E16="Ei muuta","0,00",VLOOKUP(E16,Kertoimet!B152:C153,2,FALSE)/1000*105)</f>
      </c>
      <c r="G16" s="302"/>
      <c r="H16" s="253" t="s">
        <v>399</v>
      </c>
      <c r="I16" s="302"/>
      <c r="J16" s="243"/>
      <c r="K16" s="302"/>
      <c r="L16" s="16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x14ac:dyDescent="0.25" r="17" customHeight="1" ht="19.5">
      <c r="A17" s="2"/>
      <c r="B17" s="301"/>
      <c r="C17" s="302"/>
      <c r="D17" s="251" t="s">
        <v>330</v>
      </c>
      <c r="E17" s="265">
        <f>D13*(F13+F14+F15+F16)</f>
      </c>
      <c r="F17" s="243" t="s">
        <v>327</v>
      </c>
      <c r="G17" s="302"/>
      <c r="H17" s="246" t="s">
        <v>400</v>
      </c>
      <c r="I17" s="253"/>
      <c r="J17" s="363"/>
      <c r="K17" s="302"/>
      <c r="L17" s="16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x14ac:dyDescent="0.25" r="18" customHeight="1" ht="19.5">
      <c r="A18" s="2"/>
      <c r="B18" s="301"/>
      <c r="C18" s="302"/>
      <c r="D18" s="253" t="s">
        <v>389</v>
      </c>
      <c r="E18" s="359"/>
      <c r="F18" s="359"/>
      <c r="G18" s="302"/>
      <c r="H18" s="302"/>
      <c r="I18" s="253" t="s">
        <v>364</v>
      </c>
      <c r="J18" s="243" t="s">
        <v>401</v>
      </c>
      <c r="K18" s="302"/>
      <c r="L18" s="16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x14ac:dyDescent="0.25" r="19" customHeight="1" ht="19.5">
      <c r="A19" s="2"/>
      <c r="B19" s="301"/>
      <c r="C19" s="253" t="s">
        <v>402</v>
      </c>
      <c r="D19" s="331"/>
      <c r="E19" s="361" t="s">
        <v>220</v>
      </c>
      <c r="F19" s="362">
        <f>VLOOKUP(E19,Kertoimet!B133:C136,2,FALSE)/1000*170</f>
      </c>
      <c r="G19" s="302"/>
      <c r="H19" s="246" t="s">
        <v>43</v>
      </c>
      <c r="I19" s="364"/>
      <c r="J19" s="364"/>
      <c r="K19" s="302"/>
      <c r="L19" s="16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x14ac:dyDescent="0.25" r="20" customHeight="1" ht="19.5">
      <c r="A20" s="6" t="s">
        <v>35</v>
      </c>
      <c r="B20" s="301"/>
      <c r="C20" s="246"/>
      <c r="D20" s="302"/>
      <c r="E20" s="361" t="s">
        <v>229</v>
      </c>
      <c r="F20" s="362">
        <f>VLOOKUP(E20,Kertoimet!B145:C148,2,FALSE)/1000*150</f>
      </c>
      <c r="G20" s="302"/>
      <c r="H20" s="302"/>
      <c r="I20" s="251" t="s">
        <v>330</v>
      </c>
      <c r="J20" s="365">
        <f>IF(I19&lt;&gt;"",I19/J17*(F7+F8+F9+F10+Kertoimet!C178+1.5/1000*30),J19*(F7+F8+F9+F10+Kertoimet!C178+1.5/1000*30))</f>
      </c>
      <c r="K20" s="253" t="s">
        <v>327</v>
      </c>
      <c r="L20" s="16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x14ac:dyDescent="0.25" r="21" customHeight="1" ht="19.5">
      <c r="A21" s="2"/>
      <c r="B21" s="301"/>
      <c r="C21" s="246"/>
      <c r="D21" s="251" t="s">
        <v>330</v>
      </c>
      <c r="E21" s="265">
        <f>D19*(F19+F20)</f>
      </c>
      <c r="F21" s="243" t="s">
        <v>327</v>
      </c>
      <c r="G21" s="302"/>
      <c r="H21" s="302"/>
      <c r="I21" s="302"/>
      <c r="J21" s="359"/>
      <c r="K21" s="246"/>
      <c r="L21" s="16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x14ac:dyDescent="0.25" r="22" customHeight="1" ht="19.5">
      <c r="A22" s="2"/>
      <c r="B22" s="301"/>
      <c r="C22" s="246"/>
      <c r="D22" s="246"/>
      <c r="E22" s="254"/>
      <c r="F22" s="359"/>
      <c r="G22" s="302"/>
      <c r="H22" s="246" t="s">
        <v>45</v>
      </c>
      <c r="I22" s="364"/>
      <c r="J22" s="364"/>
      <c r="K22" s="302"/>
      <c r="L22" s="169"/>
      <c r="M22" s="2"/>
      <c r="N22" s="2"/>
      <c r="O22" s="2"/>
      <c r="P22" s="2"/>
      <c r="Q22" s="2"/>
      <c r="R22" s="2"/>
      <c r="S22" s="2"/>
      <c r="T22" s="2"/>
      <c r="U22" s="2"/>
      <c r="V22" s="51"/>
      <c r="W22" s="2"/>
      <c r="X22" s="2"/>
    </row>
    <row x14ac:dyDescent="0.25" r="23" customHeight="1" ht="19.5">
      <c r="A23" s="2"/>
      <c r="B23" s="301"/>
      <c r="C23" s="253" t="s">
        <v>30</v>
      </c>
      <c r="D23" s="253" t="s">
        <v>389</v>
      </c>
      <c r="E23" s="243" t="s">
        <v>327</v>
      </c>
      <c r="F23" s="359"/>
      <c r="G23" s="302"/>
      <c r="H23" s="302"/>
      <c r="I23" s="251" t="s">
        <v>330</v>
      </c>
      <c r="J23" s="365">
        <f>IF(I22&lt;&gt;"",I22/J17*(F13+F14+F15+F16+Kertoimet!C178+1.5/1000*30),J22*(F13+F14+F15+F16+Kertoimet!C178+1.5/1000*30))</f>
      </c>
      <c r="K23" s="302"/>
      <c r="L23" s="169"/>
      <c r="M23" s="2"/>
      <c r="N23" s="2"/>
      <c r="O23" s="2"/>
      <c r="P23" s="2"/>
      <c r="Q23" s="2"/>
      <c r="R23" s="2"/>
      <c r="S23" s="2"/>
      <c r="T23" s="2"/>
      <c r="U23" s="2"/>
      <c r="V23" s="51"/>
      <c r="W23" s="2"/>
      <c r="X23" s="2"/>
    </row>
    <row x14ac:dyDescent="0.25" r="24" customHeight="1" ht="19.5">
      <c r="A24" s="2"/>
      <c r="B24" s="301"/>
      <c r="C24" s="246" t="s">
        <v>403</v>
      </c>
      <c r="D24" s="247"/>
      <c r="E24" s="250">
        <f>D24*Kertoimet!C172</f>
      </c>
      <c r="F24" s="359"/>
      <c r="G24" s="302"/>
      <c r="H24" s="302"/>
      <c r="I24" s="302"/>
      <c r="J24" s="359"/>
      <c r="K24" s="302"/>
      <c r="L24" s="16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x14ac:dyDescent="0.25" r="25" customHeight="1" ht="19.5">
      <c r="A25" s="2"/>
      <c r="B25" s="301"/>
      <c r="C25" s="246" t="s">
        <v>246</v>
      </c>
      <c r="D25" s="247"/>
      <c r="E25" s="250">
        <f>D25*Kertoimet!C164</f>
      </c>
      <c r="F25" s="359"/>
      <c r="G25" s="302"/>
      <c r="H25" s="246" t="s">
        <v>48</v>
      </c>
      <c r="I25" s="364"/>
      <c r="J25" s="364"/>
      <c r="K25" s="302"/>
      <c r="L25" s="16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x14ac:dyDescent="0.25" r="26" customHeight="1" ht="15.6">
      <c r="A26" s="2"/>
      <c r="B26" s="301"/>
      <c r="C26" s="246"/>
      <c r="D26" s="251" t="s">
        <v>330</v>
      </c>
      <c r="E26" s="366">
        <f>SUM(E24:E25)</f>
      </c>
      <c r="F26" s="243" t="s">
        <v>327</v>
      </c>
      <c r="G26" s="302"/>
      <c r="H26" s="302"/>
      <c r="I26" s="251" t="s">
        <v>330</v>
      </c>
      <c r="J26" s="365">
        <f>IF(I25&lt;&gt;"",I25/J17*(F19+F20+Kertoimet!C178+1.5/1000*30),J25*(F19+F20+Kertoimet!C178+1.5/1000*30))</f>
      </c>
      <c r="K26" s="302"/>
      <c r="L26" s="16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x14ac:dyDescent="0.25" r="27" customHeight="1" ht="19.5">
      <c r="A27" s="2"/>
      <c r="B27" s="301"/>
      <c r="C27" s="246"/>
      <c r="D27" s="251"/>
      <c r="E27" s="367"/>
      <c r="F27" s="359"/>
      <c r="G27" s="302"/>
      <c r="H27" s="302"/>
      <c r="I27" s="302"/>
      <c r="J27" s="265">
        <f>SUM(J20+J23+J26)</f>
      </c>
      <c r="K27" s="302"/>
      <c r="L27" s="16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x14ac:dyDescent="0.25" r="28" customHeight="1" ht="19.5">
      <c r="A28" s="2"/>
      <c r="B28" s="301"/>
      <c r="C28" s="253" t="s">
        <v>32</v>
      </c>
      <c r="D28" s="253" t="s">
        <v>389</v>
      </c>
      <c r="E28" s="243" t="s">
        <v>327</v>
      </c>
      <c r="F28" s="359"/>
      <c r="G28" s="302"/>
      <c r="H28" s="253" t="s">
        <v>404</v>
      </c>
      <c r="I28" s="302"/>
      <c r="J28" s="359"/>
      <c r="K28" s="302"/>
      <c r="L28" s="16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x14ac:dyDescent="0.25" r="29" customHeight="1" ht="19.5">
      <c r="A29" s="2"/>
      <c r="B29" s="301"/>
      <c r="C29" s="302" t="s">
        <v>242</v>
      </c>
      <c r="D29" s="368"/>
      <c r="E29" s="250">
        <f>D29*Kertoimet!C156/1000*30</f>
      </c>
      <c r="F29" s="359"/>
      <c r="G29" s="302"/>
      <c r="H29" s="302"/>
      <c r="I29" s="253" t="s">
        <v>389</v>
      </c>
      <c r="J29" s="243" t="s">
        <v>327</v>
      </c>
      <c r="K29" s="302"/>
      <c r="L29" s="16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x14ac:dyDescent="0.25" r="30" customHeight="1" ht="19.5">
      <c r="A30" s="2"/>
      <c r="B30" s="301"/>
      <c r="C30" s="302" t="s">
        <v>243</v>
      </c>
      <c r="D30" s="369"/>
      <c r="E30" s="250">
        <f>D30*Kertoimet!C157/1000*30</f>
      </c>
      <c r="F30" s="359"/>
      <c r="G30" s="302"/>
      <c r="H30" s="246" t="s">
        <v>173</v>
      </c>
      <c r="I30" s="247"/>
      <c r="J30" s="250">
        <f>IF(Kertoimet!D58&lt;&gt;"",Kertoimet!C58*Kertoimet!C82*I30,Kertoimet!C56*Kertoimet!C82*I30)</f>
      </c>
      <c r="K30" s="302"/>
      <c r="L30" s="16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x14ac:dyDescent="0.25" r="31" customHeight="1" ht="19.5">
      <c r="A31" s="2"/>
      <c r="B31" s="301"/>
      <c r="C31" s="302" t="s">
        <v>396</v>
      </c>
      <c r="D31" s="368"/>
      <c r="E31" s="250">
        <f>D31*Kertoimet!C178</f>
      </c>
      <c r="F31" s="359"/>
      <c r="G31" s="302"/>
      <c r="H31" s="246" t="s">
        <v>175</v>
      </c>
      <c r="I31" s="247"/>
      <c r="J31" s="250">
        <f>IF(Kertoimet!D58&lt;&gt;"",Kertoimet!C58*Kertoimet!C83*I31,Kertoimet!C56*Kertoimet!C83*I31)</f>
      </c>
      <c r="K31" s="302"/>
      <c r="L31" s="16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x14ac:dyDescent="0.25" r="32" customHeight="1" ht="19.5">
      <c r="A32" s="2"/>
      <c r="B32" s="301"/>
      <c r="C32" s="302"/>
      <c r="D32" s="251" t="s">
        <v>330</v>
      </c>
      <c r="E32" s="265">
        <f>SUM(E29:E31)</f>
      </c>
      <c r="F32" s="243" t="s">
        <v>327</v>
      </c>
      <c r="G32" s="302"/>
      <c r="H32" s="246"/>
      <c r="I32" s="251" t="s">
        <v>330</v>
      </c>
      <c r="J32" s="265">
        <f>SUM(J30+J31)</f>
      </c>
      <c r="K32" s="253" t="s">
        <v>327</v>
      </c>
      <c r="L32" s="16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x14ac:dyDescent="0.25" r="33" customHeight="1" ht="19.5">
      <c r="A33" s="2"/>
      <c r="B33" s="301"/>
      <c r="C33" s="302"/>
      <c r="D33" s="246"/>
      <c r="E33" s="370"/>
      <c r="F33" s="370"/>
      <c r="G33" s="302"/>
      <c r="H33" s="302"/>
      <c r="I33" s="302"/>
      <c r="J33" s="359"/>
      <c r="K33" s="302"/>
      <c r="L33" s="169"/>
      <c r="M33" s="6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</row>
    <row x14ac:dyDescent="0.25" r="34" customHeight="1" ht="19.5">
      <c r="A34" s="2"/>
      <c r="B34" s="301"/>
      <c r="C34" s="2"/>
      <c r="D34" s="2"/>
      <c r="E34" s="3"/>
      <c r="F34" s="371"/>
      <c r="G34" s="2"/>
      <c r="H34" s="2"/>
      <c r="I34" s="2"/>
      <c r="J34" s="372" t="s">
        <v>405</v>
      </c>
      <c r="K34" s="6"/>
      <c r="L34" s="37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x14ac:dyDescent="0.25" r="35" customHeight="1" ht="19.5">
      <c r="A35" s="2"/>
      <c r="B35" s="320"/>
      <c r="C35" s="290" t="s">
        <v>406</v>
      </c>
      <c r="D35" s="291"/>
      <c r="E35" s="374"/>
      <c r="F35" s="374"/>
      <c r="G35" s="291"/>
      <c r="H35" s="291"/>
      <c r="I35" s="291"/>
      <c r="J35" s="292">
        <f>J32</f>
      </c>
      <c r="K35" s="293" t="s">
        <v>407</v>
      </c>
      <c r="L35" s="37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x14ac:dyDescent="0.25" r="36" customHeight="1" ht="19.5">
      <c r="A36" s="2"/>
      <c r="B36" s="320"/>
      <c r="C36" s="290" t="s">
        <v>408</v>
      </c>
      <c r="D36" s="291"/>
      <c r="E36" s="374"/>
      <c r="F36" s="374"/>
      <c r="G36" s="291"/>
      <c r="H36" s="291"/>
      <c r="I36" s="291"/>
      <c r="J36" s="292">
        <f>J15</f>
      </c>
      <c r="K36" s="293" t="s">
        <v>25</v>
      </c>
      <c r="L36" s="37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x14ac:dyDescent="0.25" r="37" customHeight="1" ht="19.5">
      <c r="A37" s="2"/>
      <c r="B37" s="320"/>
      <c r="C37" s="290" t="s">
        <v>409</v>
      </c>
      <c r="D37" s="291"/>
      <c r="E37" s="374"/>
      <c r="F37" s="374"/>
      <c r="G37" s="291"/>
      <c r="H37" s="291"/>
      <c r="I37" s="291"/>
      <c r="J37" s="292">
        <f>J27</f>
      </c>
      <c r="K37" s="293" t="s">
        <v>25</v>
      </c>
      <c r="L37" s="37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x14ac:dyDescent="0.25" r="38" customHeight="1" ht="19.5">
      <c r="A38" s="2"/>
      <c r="B38" s="320"/>
      <c r="C38" s="290" t="s">
        <v>16</v>
      </c>
      <c r="D38" s="291"/>
      <c r="E38" s="374"/>
      <c r="F38" s="374"/>
      <c r="G38" s="291"/>
      <c r="H38" s="291"/>
      <c r="I38" s="291"/>
      <c r="J38" s="292">
        <f>E11+E17+E21+E26+E32</f>
      </c>
      <c r="K38" s="293" t="s">
        <v>25</v>
      </c>
      <c r="L38" s="37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x14ac:dyDescent="0.25" r="39" customHeight="1" ht="19.5">
      <c r="A39" s="2"/>
      <c r="B39" s="5"/>
      <c r="C39" s="2"/>
      <c r="D39" s="2"/>
      <c r="E39" s="3"/>
      <c r="F39" s="3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x14ac:dyDescent="0.25" r="40" customHeight="1" ht="19.5">
      <c r="A40" s="2"/>
      <c r="B40" s="2"/>
      <c r="C40" s="2"/>
      <c r="D40" s="2"/>
      <c r="E40" s="3"/>
      <c r="F40" s="3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x14ac:dyDescent="0.25" r="41" customHeight="1" ht="19.5">
      <c r="A41" s="6"/>
      <c r="B41" s="2"/>
      <c r="C41" s="9" t="s">
        <v>410</v>
      </c>
      <c r="D41" s="2"/>
      <c r="E41" s="3"/>
      <c r="F41" s="3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x14ac:dyDescent="0.25" r="42" customHeight="1" ht="19.5">
      <c r="A42" s="6"/>
      <c r="B42" s="298"/>
      <c r="C42" s="108"/>
      <c r="D42" s="108"/>
      <c r="E42" s="358"/>
      <c r="F42" s="358"/>
      <c r="G42" s="108"/>
      <c r="H42" s="108"/>
      <c r="I42" s="108"/>
      <c r="J42" s="358"/>
      <c r="K42" s="108"/>
      <c r="L42" s="300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x14ac:dyDescent="0.25" r="43" customHeight="1" ht="19.5">
      <c r="A43" s="6"/>
      <c r="B43" s="301"/>
      <c r="C43" s="253" t="s">
        <v>411</v>
      </c>
      <c r="D43" s="253" t="s">
        <v>389</v>
      </c>
      <c r="E43" s="243" t="s">
        <v>327</v>
      </c>
      <c r="F43" s="359"/>
      <c r="G43" s="302"/>
      <c r="H43" s="253" t="s">
        <v>18</v>
      </c>
      <c r="I43" s="253" t="s">
        <v>412</v>
      </c>
      <c r="J43" s="243" t="s">
        <v>327</v>
      </c>
      <c r="K43" s="253"/>
      <c r="L43" s="169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x14ac:dyDescent="0.25" r="44" customHeight="1" ht="19.5">
      <c r="A44" s="6"/>
      <c r="B44" s="301"/>
      <c r="C44" s="302" t="s">
        <v>388</v>
      </c>
      <c r="D44" s="331"/>
      <c r="E44" s="250">
        <f>IF(D44&lt;&gt;"",(J55+J62+J67)*D44,"0,00")</f>
      </c>
      <c r="F44" s="359"/>
      <c r="G44" s="302"/>
      <c r="H44" s="246" t="s">
        <v>210</v>
      </c>
      <c r="I44" s="376"/>
      <c r="J44" s="250">
        <f>I44*((Kertoimet!C127/1000)*170)</f>
      </c>
      <c r="K44" s="246"/>
      <c r="L44" s="169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x14ac:dyDescent="0.25" r="45" customHeight="1" ht="19.5">
      <c r="A45" s="6"/>
      <c r="B45" s="301"/>
      <c r="C45" s="302"/>
      <c r="D45" s="251" t="s">
        <v>330</v>
      </c>
      <c r="E45" s="265">
        <f>SUM(E44:E44)</f>
      </c>
      <c r="F45" s="243" t="s">
        <v>327</v>
      </c>
      <c r="G45" s="302"/>
      <c r="H45" s="246" t="s">
        <v>209</v>
      </c>
      <c r="I45" s="247"/>
      <c r="J45" s="250">
        <f>I45*((Kertoimet!C126/1000)*170)</f>
      </c>
      <c r="K45" s="246"/>
      <c r="L45" s="169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x14ac:dyDescent="0.25" r="46" customHeight="1" ht="19.5">
      <c r="A46" s="6"/>
      <c r="B46" s="301"/>
      <c r="C46" s="302"/>
      <c r="D46" s="302"/>
      <c r="E46" s="377"/>
      <c r="F46" s="359"/>
      <c r="G46" s="302"/>
      <c r="H46" s="246" t="s">
        <v>212</v>
      </c>
      <c r="I46" s="247"/>
      <c r="J46" s="250">
        <f>I46*((Kertoimet!C129/1000)*170)</f>
      </c>
      <c r="K46" s="246"/>
      <c r="L46" s="169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x14ac:dyDescent="0.25" r="47" customHeight="1" ht="19.5">
      <c r="A47" s="6"/>
      <c r="B47" s="301"/>
      <c r="C47" s="253" t="s">
        <v>413</v>
      </c>
      <c r="D47" s="253" t="s">
        <v>389</v>
      </c>
      <c r="E47" s="243" t="s">
        <v>327</v>
      </c>
      <c r="F47" s="359"/>
      <c r="G47" s="302"/>
      <c r="H47" s="246" t="s">
        <v>211</v>
      </c>
      <c r="I47" s="247"/>
      <c r="J47" s="250">
        <f>I47*((Kertoimet!C128/1000)*170)</f>
      </c>
      <c r="K47" s="246"/>
      <c r="L47" s="169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x14ac:dyDescent="0.25" r="48" customHeight="1" ht="19.5">
      <c r="A48" s="6"/>
      <c r="B48" s="301"/>
      <c r="C48" s="302" t="s">
        <v>414</v>
      </c>
      <c r="D48" s="331"/>
      <c r="E48" s="250">
        <f>D48*0</f>
      </c>
      <c r="F48" s="359"/>
      <c r="G48" s="302"/>
      <c r="H48" s="246" t="s">
        <v>213</v>
      </c>
      <c r="I48" s="247"/>
      <c r="J48" s="250">
        <f>I48*(Kertoimet!C130/1000*170)</f>
      </c>
      <c r="K48" s="302"/>
      <c r="L48" s="169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x14ac:dyDescent="0.25" r="49" customHeight="1" ht="19.5">
      <c r="A49" s="6"/>
      <c r="B49" s="301"/>
      <c r="C49" s="302" t="s">
        <v>224</v>
      </c>
      <c r="D49" s="331"/>
      <c r="E49" s="248">
        <f>D49*((Kertoimet!C140/1000)*170)</f>
      </c>
      <c r="F49" s="359"/>
      <c r="G49" s="302"/>
      <c r="H49" s="246" t="s">
        <v>216</v>
      </c>
      <c r="I49" s="247"/>
      <c r="J49" s="250">
        <f>I49*(Kertoimet!C133/1000*170)</f>
      </c>
      <c r="K49" s="253"/>
      <c r="L49" s="169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x14ac:dyDescent="0.25" r="50" customHeight="1" ht="15.6">
      <c r="A50" s="6"/>
      <c r="B50" s="301"/>
      <c r="C50" s="302" t="s">
        <v>415</v>
      </c>
      <c r="D50" s="331"/>
      <c r="E50" s="248">
        <f>D50*((Kertoimet!C139/1000)*170)</f>
      </c>
      <c r="F50" s="359"/>
      <c r="G50" s="302"/>
      <c r="H50" s="246" t="s">
        <v>218</v>
      </c>
      <c r="I50" s="276"/>
      <c r="J50" s="250">
        <f>I50*(Kertoimet!C134/1000*170)</f>
      </c>
      <c r="K50" s="246"/>
      <c r="L50" s="169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x14ac:dyDescent="0.25" r="51" customHeight="1" ht="19.5">
      <c r="A51" s="6"/>
      <c r="B51" s="301"/>
      <c r="C51" s="246" t="s">
        <v>226</v>
      </c>
      <c r="D51" s="324"/>
      <c r="E51" s="250">
        <f>D51*((Kertoimet!C141/1000)*170)</f>
      </c>
      <c r="F51" s="359"/>
      <c r="G51" s="302"/>
      <c r="H51" s="246" t="s">
        <v>220</v>
      </c>
      <c r="I51" s="276"/>
      <c r="J51" s="250">
        <f>I51*(Kertoimet!C145/1000*170)</f>
      </c>
      <c r="K51" s="246"/>
      <c r="L51" s="169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x14ac:dyDescent="0.25" r="52" customHeight="1" ht="19.5">
      <c r="A52" s="6"/>
      <c r="B52" s="301"/>
      <c r="C52" s="246" t="s">
        <v>228</v>
      </c>
      <c r="D52" s="258"/>
      <c r="E52" s="250">
        <f>D52*((Kertoimet!C142/1000)*170)</f>
      </c>
      <c r="F52" s="359"/>
      <c r="G52" s="302"/>
      <c r="H52" s="246" t="s">
        <v>221</v>
      </c>
      <c r="I52" s="247"/>
      <c r="J52" s="250">
        <f>I52*(Kertoimet!C136/1000*170)</f>
      </c>
      <c r="K52" s="302"/>
      <c r="L52" s="169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x14ac:dyDescent="0.25" r="53" customHeight="1" ht="19.5">
      <c r="A53" s="6"/>
      <c r="B53" s="301"/>
      <c r="C53" s="253"/>
      <c r="D53" s="251" t="s">
        <v>330</v>
      </c>
      <c r="E53" s="265">
        <f>SUM(E48:E52)</f>
      </c>
      <c r="F53" s="243" t="s">
        <v>327</v>
      </c>
      <c r="G53" s="302"/>
      <c r="H53" s="246" t="s">
        <v>236</v>
      </c>
      <c r="I53" s="306"/>
      <c r="J53" s="250">
        <f>I53*(Kertoimet!C169/1000*60)</f>
      </c>
      <c r="K53" s="302"/>
      <c r="L53" s="169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x14ac:dyDescent="0.25" r="54" customHeight="1" ht="19.5">
      <c r="A54" s="6"/>
      <c r="B54" s="301"/>
      <c r="C54" s="253"/>
      <c r="D54" s="253"/>
      <c r="E54" s="254"/>
      <c r="F54" s="243"/>
      <c r="G54" s="302"/>
      <c r="H54" s="246" t="s">
        <v>237</v>
      </c>
      <c r="I54" s="378"/>
      <c r="J54" s="277">
        <f>I54*(Kertoimet!C1514/1000*100)</f>
      </c>
      <c r="K54" s="302"/>
      <c r="L54" s="169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x14ac:dyDescent="0.25" r="55" customHeight="1" ht="19.5">
      <c r="A55" s="6"/>
      <c r="B55" s="301"/>
      <c r="C55" s="253" t="s">
        <v>20</v>
      </c>
      <c r="D55" s="253" t="s">
        <v>389</v>
      </c>
      <c r="E55" s="243" t="s">
        <v>327</v>
      </c>
      <c r="F55" s="359"/>
      <c r="G55" s="302"/>
      <c r="H55" s="302"/>
      <c r="I55" s="251" t="s">
        <v>330</v>
      </c>
      <c r="J55" s="271">
        <f>SUM(J44:J54)</f>
      </c>
      <c r="K55" s="253" t="s">
        <v>327</v>
      </c>
      <c r="L55" s="169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x14ac:dyDescent="0.25" r="56" customHeight="1" ht="19.5">
      <c r="A56" s="6"/>
      <c r="B56" s="301"/>
      <c r="C56" s="302" t="s">
        <v>242</v>
      </c>
      <c r="D56" s="331"/>
      <c r="E56" s="250">
        <f>D56*((Kertoimet!C156/1000)*30)</f>
      </c>
      <c r="F56" s="359"/>
      <c r="G56" s="302"/>
      <c r="H56" s="302"/>
      <c r="I56" s="302"/>
      <c r="J56" s="359"/>
      <c r="K56" s="302"/>
      <c r="L56" s="169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x14ac:dyDescent="0.25" r="57" customHeight="1" ht="19.5">
      <c r="A57" s="6"/>
      <c r="B57" s="301"/>
      <c r="C57" s="302" t="s">
        <v>243</v>
      </c>
      <c r="D57" s="331"/>
      <c r="E57" s="250">
        <f>D57*((Kertoimet!C157/1000)*30)</f>
      </c>
      <c r="F57" s="370"/>
      <c r="G57" s="302"/>
      <c r="H57" s="253" t="s">
        <v>19</v>
      </c>
      <c r="I57" s="253" t="s">
        <v>412</v>
      </c>
      <c r="J57" s="243" t="s">
        <v>327</v>
      </c>
      <c r="K57" s="302"/>
      <c r="L57" s="169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x14ac:dyDescent="0.25" r="58" customHeight="1" ht="19.5">
      <c r="A58" s="6"/>
      <c r="B58" s="301"/>
      <c r="C58" s="302" t="s">
        <v>396</v>
      </c>
      <c r="D58" s="331"/>
      <c r="E58" s="250">
        <f>D58*Kertoimet!C178</f>
      </c>
      <c r="F58" s="359"/>
      <c r="G58" s="302"/>
      <c r="H58" s="246" t="s">
        <v>232</v>
      </c>
      <c r="I58" s="306"/>
      <c r="J58" s="250">
        <f>I58*(Kertoimet!C147/1000*150)</f>
      </c>
      <c r="K58" s="302"/>
      <c r="L58" s="169"/>
      <c r="M58" s="6"/>
      <c r="N58" s="2"/>
      <c r="O58" s="94"/>
      <c r="P58" s="2"/>
      <c r="Q58" s="2"/>
      <c r="R58" s="2"/>
      <c r="S58" s="2"/>
      <c r="T58" s="2"/>
      <c r="U58" s="2"/>
      <c r="V58" s="2"/>
      <c r="W58" s="2"/>
      <c r="X58" s="2"/>
    </row>
    <row x14ac:dyDescent="0.25" r="59" customHeight="1" ht="19.5">
      <c r="A59" s="6"/>
      <c r="B59" s="301"/>
      <c r="C59" s="302"/>
      <c r="D59" s="251" t="s">
        <v>330</v>
      </c>
      <c r="E59" s="265">
        <f>SUM(E56:E58)</f>
      </c>
      <c r="F59" s="243" t="s">
        <v>327</v>
      </c>
      <c r="G59" s="302"/>
      <c r="H59" s="246" t="s">
        <v>231</v>
      </c>
      <c r="I59" s="306"/>
      <c r="J59" s="250">
        <f>I59*(Kertoimet!C146/1000*100)</f>
      </c>
      <c r="K59" s="302"/>
      <c r="L59" s="169"/>
      <c r="M59" s="6"/>
      <c r="N59" s="2"/>
      <c r="O59" s="94"/>
      <c r="P59" s="2"/>
      <c r="Q59" s="2"/>
      <c r="R59" s="2"/>
      <c r="S59" s="2"/>
      <c r="T59" s="2"/>
      <c r="U59" s="2"/>
      <c r="V59" s="2"/>
      <c r="W59" s="2"/>
      <c r="X59" s="2"/>
    </row>
    <row x14ac:dyDescent="0.25" r="60" customHeight="1" ht="19.5">
      <c r="A60" s="6"/>
      <c r="B60" s="301"/>
      <c r="C60" s="302"/>
      <c r="D60" s="251"/>
      <c r="E60" s="254"/>
      <c r="F60" s="359"/>
      <c r="G60" s="302"/>
      <c r="H60" s="246" t="s">
        <v>229</v>
      </c>
      <c r="I60" s="306"/>
      <c r="J60" s="250">
        <f>I60*(Kertoimet!C145/1000*120)</f>
      </c>
      <c r="K60" s="302"/>
      <c r="L60" s="169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x14ac:dyDescent="0.25" r="61" customHeight="1" ht="19.5">
      <c r="A61" s="6"/>
      <c r="B61" s="301"/>
      <c r="C61" s="253" t="s">
        <v>32</v>
      </c>
      <c r="D61" s="253" t="s">
        <v>416</v>
      </c>
      <c r="E61" s="243" t="s">
        <v>327</v>
      </c>
      <c r="F61" s="359"/>
      <c r="G61" s="302"/>
      <c r="H61" s="246" t="s">
        <v>233</v>
      </c>
      <c r="I61" s="306"/>
      <c r="J61" s="250">
        <f>I61*(Kertoimet!C148/1000*150)</f>
      </c>
      <c r="K61" s="302"/>
      <c r="L61" s="169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x14ac:dyDescent="0.25" r="62" customHeight="1" ht="19.5">
      <c r="A62" s="6"/>
      <c r="B62" s="301"/>
      <c r="C62" s="302" t="s">
        <v>417</v>
      </c>
      <c r="D62" s="331" t="s">
        <v>418</v>
      </c>
      <c r="E62" s="265">
        <f>IF(D62="En yhtään","0,00",IF(D62="Yli puoli lautasta",(E45+E53+E59)/1.5,((E45+E53+E59)/2.5)))</f>
      </c>
      <c r="F62" s="359"/>
      <c r="G62" s="302"/>
      <c r="H62" s="302"/>
      <c r="I62" s="251" t="s">
        <v>330</v>
      </c>
      <c r="J62" s="265">
        <f>SUM(J58:J61)</f>
      </c>
      <c r="K62" s="253" t="s">
        <v>327</v>
      </c>
      <c r="L62" s="169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x14ac:dyDescent="0.25" r="63" customHeight="1" ht="19.5">
      <c r="A63" s="6"/>
      <c r="B63" s="301"/>
      <c r="C63" s="302"/>
      <c r="D63" s="302"/>
      <c r="E63" s="359"/>
      <c r="F63" s="359"/>
      <c r="G63" s="302"/>
      <c r="H63" s="302"/>
      <c r="I63" s="302"/>
      <c r="J63" s="359"/>
      <c r="K63" s="302"/>
      <c r="L63" s="169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x14ac:dyDescent="0.25" r="64" customHeight="1" ht="19.5">
      <c r="A64" s="6"/>
      <c r="B64" s="301"/>
      <c r="C64" s="302"/>
      <c r="D64" s="302"/>
      <c r="E64" s="359"/>
      <c r="F64" s="359"/>
      <c r="G64" s="302"/>
      <c r="H64" s="253" t="s">
        <v>30</v>
      </c>
      <c r="I64" s="253" t="s">
        <v>412</v>
      </c>
      <c r="J64" s="243" t="s">
        <v>327</v>
      </c>
      <c r="K64" s="302"/>
      <c r="L64" s="169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x14ac:dyDescent="0.25" r="65" customHeight="1" ht="19.5">
      <c r="A65" s="6"/>
      <c r="B65" s="301"/>
      <c r="C65" s="302"/>
      <c r="D65" s="302"/>
      <c r="E65" s="359"/>
      <c r="F65" s="359"/>
      <c r="G65" s="302"/>
      <c r="H65" s="246" t="s">
        <v>251</v>
      </c>
      <c r="I65" s="247"/>
      <c r="J65" s="250">
        <f>I65*Kertoimet!C172</f>
      </c>
      <c r="K65" s="302"/>
      <c r="L65" s="169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x14ac:dyDescent="0.25" r="66" customHeight="1" ht="19.5">
      <c r="A66" s="6"/>
      <c r="B66" s="301"/>
      <c r="C66" s="302"/>
      <c r="D66" s="302"/>
      <c r="E66" s="359"/>
      <c r="F66" s="359"/>
      <c r="G66" s="302"/>
      <c r="H66" s="246" t="s">
        <v>246</v>
      </c>
      <c r="I66" s="247"/>
      <c r="J66" s="250">
        <f>I66*Kertoimet!C164</f>
      </c>
      <c r="K66" s="302"/>
      <c r="L66" s="169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x14ac:dyDescent="0.25" r="67" customHeight="1" ht="19.5">
      <c r="A67" s="6"/>
      <c r="B67" s="301"/>
      <c r="C67" s="302"/>
      <c r="D67" s="302"/>
      <c r="E67" s="359"/>
      <c r="F67" s="359"/>
      <c r="G67" s="302"/>
      <c r="H67" s="246"/>
      <c r="I67" s="251" t="s">
        <v>330</v>
      </c>
      <c r="J67" s="252">
        <f>SUM(J65:J66)</f>
      </c>
      <c r="K67" s="253" t="s">
        <v>327</v>
      </c>
      <c r="L67" s="169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x14ac:dyDescent="0.25" r="68" customHeight="1" ht="19.5">
      <c r="A68" s="6"/>
      <c r="B68" s="301"/>
      <c r="C68" s="302"/>
      <c r="D68" s="302"/>
      <c r="E68" s="359"/>
      <c r="F68" s="359"/>
      <c r="G68" s="302"/>
      <c r="H68" s="246"/>
      <c r="I68" s="251"/>
      <c r="J68" s="254"/>
      <c r="K68" s="302"/>
      <c r="L68" s="16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x14ac:dyDescent="0.25" r="69" customHeight="1" ht="19.5">
      <c r="A69" s="6"/>
      <c r="B69" s="301"/>
      <c r="C69" s="312"/>
      <c r="D69" s="312"/>
      <c r="E69" s="379"/>
      <c r="F69" s="379"/>
      <c r="G69" s="312"/>
      <c r="H69" s="312"/>
      <c r="I69" s="312"/>
      <c r="J69" s="380" t="s">
        <v>349</v>
      </c>
      <c r="K69" s="312"/>
      <c r="L69" s="16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x14ac:dyDescent="0.25" r="70" customHeight="1" ht="19.5">
      <c r="A70" s="6"/>
      <c r="B70" s="320"/>
      <c r="C70" s="290" t="s">
        <v>419</v>
      </c>
      <c r="D70" s="291"/>
      <c r="E70" s="374"/>
      <c r="F70" s="292"/>
      <c r="G70" s="291"/>
      <c r="H70" s="291"/>
      <c r="I70" s="291"/>
      <c r="J70" s="292">
        <f>SUM(E45+E53+E59+E62)</f>
      </c>
      <c r="K70" s="293" t="s">
        <v>407</v>
      </c>
      <c r="L70" s="38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x14ac:dyDescent="0.25" r="71" customHeight="1" ht="19.5">
      <c r="A71" s="6"/>
      <c r="B71" s="6"/>
      <c r="C71" s="6"/>
      <c r="D71" s="6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x14ac:dyDescent="0.25" r="72" customHeight="1" ht="19.5">
      <c r="A72" s="2"/>
      <c r="B72" s="2"/>
      <c r="C72" s="2"/>
      <c r="D72" s="2"/>
      <c r="E72" s="3"/>
      <c r="F72" s="3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x14ac:dyDescent="0.25" r="73" customHeight="1" ht="19.5">
      <c r="A73" s="2"/>
      <c r="B73" s="2"/>
      <c r="C73" s="94"/>
      <c r="D73" s="94"/>
      <c r="E73" s="382"/>
      <c r="F73" s="383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x14ac:dyDescent="0.25" r="74" customHeight="1" ht="19.5">
      <c r="A74" s="2"/>
      <c r="B74" s="2"/>
      <c r="C74" s="94"/>
      <c r="D74" s="94"/>
      <c r="E74" s="382"/>
      <c r="F74" s="383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x14ac:dyDescent="0.25" r="75" customHeight="1" ht="19.5">
      <c r="A75" s="2"/>
      <c r="B75" s="2"/>
      <c r="C75" s="94"/>
      <c r="D75" s="94"/>
      <c r="E75" s="382"/>
      <c r="F75" s="383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x14ac:dyDescent="0.25" r="76" customHeight="1" ht="19.5">
      <c r="A76" s="2"/>
      <c r="B76" s="2"/>
      <c r="C76" s="94"/>
      <c r="D76" s="94"/>
      <c r="E76" s="382"/>
      <c r="F76" s="383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x14ac:dyDescent="0.25" r="77" customHeight="1" ht="19.5">
      <c r="A77" s="2"/>
      <c r="B77" s="2"/>
      <c r="C77" s="94"/>
      <c r="D77" s="94"/>
      <c r="E77" s="382"/>
      <c r="F77" s="383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x14ac:dyDescent="0.25" r="78" customHeight="1" ht="19.5">
      <c r="A78" s="2"/>
      <c r="B78" s="2"/>
      <c r="C78" s="94"/>
      <c r="D78" s="94"/>
      <c r="E78" s="382"/>
      <c r="F78" s="383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x14ac:dyDescent="0.25" r="79" customHeight="1" ht="19.5">
      <c r="A79" s="2"/>
      <c r="B79" s="2"/>
      <c r="C79" s="94"/>
      <c r="D79" s="94"/>
      <c r="E79" s="382"/>
      <c r="F79" s="383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x14ac:dyDescent="0.25" r="80" customHeight="1" ht="19.5">
      <c r="A80" s="2"/>
      <c r="B80" s="2"/>
      <c r="C80" s="94"/>
      <c r="D80" s="94"/>
      <c r="E80" s="382"/>
      <c r="F80" s="383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x14ac:dyDescent="0.25" r="81" customHeight="1" ht="19.5">
      <c r="A81" s="2"/>
      <c r="B81" s="2"/>
      <c r="C81" s="94"/>
      <c r="D81" s="94"/>
      <c r="E81" s="382"/>
      <c r="F81" s="383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x14ac:dyDescent="0.25" r="82" customHeight="1" ht="19.5">
      <c r="A82" s="2"/>
      <c r="B82" s="2"/>
      <c r="C82" s="94"/>
      <c r="D82" s="94"/>
      <c r="E82" s="382"/>
      <c r="F82" s="383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x14ac:dyDescent="0.25" r="83" customHeight="1" ht="19.5">
      <c r="A83" s="2"/>
      <c r="B83" s="2"/>
      <c r="C83" s="94"/>
      <c r="D83" s="94"/>
      <c r="E83" s="382"/>
      <c r="F83" s="382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x14ac:dyDescent="0.25" r="84" customHeight="1" ht="19.5">
      <c r="A84" s="2"/>
      <c r="B84" s="2"/>
      <c r="C84" s="94"/>
      <c r="D84" s="94"/>
      <c r="E84" s="382"/>
      <c r="F84" s="383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x14ac:dyDescent="0.25" r="85" customHeight="1" ht="19.5">
      <c r="A85" s="2"/>
      <c r="B85" s="2"/>
      <c r="C85" s="94"/>
      <c r="D85" s="94"/>
      <c r="E85" s="382"/>
      <c r="F85" s="383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x14ac:dyDescent="0.25" r="86" customHeight="1" ht="19.5">
      <c r="A86" s="2"/>
      <c r="B86" s="2"/>
      <c r="C86" s="94"/>
      <c r="D86" s="94"/>
      <c r="E86" s="382"/>
      <c r="F86" s="383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x14ac:dyDescent="0.25" r="87" customHeight="1" ht="19.5">
      <c r="A87" s="2"/>
      <c r="B87" s="2"/>
      <c r="C87" s="94"/>
      <c r="D87" s="94"/>
      <c r="E87" s="382"/>
      <c r="F87" s="383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x14ac:dyDescent="0.25" r="88" customHeight="1" ht="19.5">
      <c r="A88" s="2"/>
      <c r="B88" s="2"/>
      <c r="C88" s="94"/>
      <c r="D88" s="94"/>
      <c r="E88" s="382"/>
      <c r="F88" s="383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x14ac:dyDescent="0.25" r="89" customHeight="1" ht="19.5">
      <c r="A89" s="2"/>
      <c r="B89" s="2"/>
      <c r="C89" s="94"/>
      <c r="D89" s="94"/>
      <c r="E89" s="382"/>
      <c r="F89" s="383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x14ac:dyDescent="0.25" r="90" customHeight="1" ht="19.5">
      <c r="A90" s="2"/>
      <c r="B90" s="2"/>
      <c r="C90" s="216"/>
      <c r="D90" s="216"/>
      <c r="E90" s="384"/>
      <c r="F90" s="384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x14ac:dyDescent="0.25" r="91" customHeight="1" ht="19.5">
      <c r="A91" s="2"/>
      <c r="B91" s="2"/>
      <c r="C91" s="216"/>
      <c r="D91" s="216"/>
      <c r="E91" s="384"/>
      <c r="F91" s="385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x14ac:dyDescent="0.25" r="92" customHeight="1" ht="19.5">
      <c r="A92" s="2"/>
      <c r="B92" s="2"/>
      <c r="C92" s="216"/>
      <c r="D92" s="216"/>
      <c r="E92" s="384"/>
      <c r="F92" s="385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x14ac:dyDescent="0.25" r="93" customHeight="1" ht="19.5">
      <c r="A93" s="2"/>
      <c r="B93" s="2"/>
      <c r="C93" s="216"/>
      <c r="D93" s="216"/>
      <c r="E93" s="384"/>
      <c r="F93" s="385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x14ac:dyDescent="0.25" r="94" customHeight="1" ht="19.5">
      <c r="A94" s="2"/>
      <c r="B94" s="2"/>
      <c r="C94" s="216"/>
      <c r="D94" s="216"/>
      <c r="E94" s="384"/>
      <c r="F94" s="384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x14ac:dyDescent="0.25" r="95" customHeight="1" ht="19.5">
      <c r="A95" s="2"/>
      <c r="B95" s="2"/>
      <c r="C95" s="216"/>
      <c r="D95" s="216"/>
      <c r="E95" s="384"/>
      <c r="F95" s="385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x14ac:dyDescent="0.25" r="96" customHeight="1" ht="19.5">
      <c r="A96" s="2"/>
      <c r="B96" s="2"/>
      <c r="C96" s="216"/>
      <c r="D96" s="216"/>
      <c r="E96" s="384"/>
      <c r="F96" s="385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x14ac:dyDescent="0.25" r="97" customHeight="1" ht="19.5">
      <c r="A97" s="2"/>
      <c r="B97" s="2"/>
      <c r="C97" s="216"/>
      <c r="D97" s="216"/>
      <c r="E97" s="384"/>
      <c r="F97" s="385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x14ac:dyDescent="0.25" r="98" customHeight="1" ht="19.5">
      <c r="A98" s="2"/>
      <c r="B98" s="2"/>
      <c r="C98" s="216"/>
      <c r="D98" s="216"/>
      <c r="E98" s="384"/>
      <c r="F98" s="384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x14ac:dyDescent="0.25" r="99" customHeight="1" ht="19.5">
      <c r="A99" s="2"/>
      <c r="B99" s="2"/>
      <c r="C99" s="216"/>
      <c r="D99" s="216"/>
      <c r="E99" s="384"/>
      <c r="F99" s="385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x14ac:dyDescent="0.25" r="100" customHeight="1" ht="19.5">
      <c r="A100" s="2"/>
      <c r="B100" s="2"/>
      <c r="C100" s="216"/>
      <c r="D100" s="216"/>
      <c r="E100" s="384"/>
      <c r="F100" s="385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27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6.005" customWidth="1" bestFit="1"/>
    <col min="2" max="2" style="73" width="3.2907142857142855" customWidth="1" bestFit="1"/>
    <col min="3" max="3" style="73" width="28.433571428571426" customWidth="1" bestFit="1"/>
    <col min="4" max="4" style="73" width="4.719285714285714" customWidth="1" bestFit="1"/>
    <col min="5" max="5" style="73" width="22.290714285714284" customWidth="1" bestFit="1"/>
    <col min="6" max="6" style="233" width="14.005" customWidth="1" bestFit="1"/>
    <col min="7" max="7" style="73" width="14.43357142857143" customWidth="1" bestFit="1"/>
    <col min="8" max="8" style="73" width="4.719285714285714" customWidth="1" bestFit="1"/>
    <col min="9" max="9" style="73" width="14.147857142857141" customWidth="1" bestFit="1"/>
    <col min="10" max="10" style="73" width="14.147857142857141" customWidth="1" bestFit="1"/>
    <col min="11" max="11" style="73" width="14.147857142857141" customWidth="1" bestFit="1"/>
    <col min="12" max="12" style="73" width="14.147857142857141" customWidth="1" bestFit="1"/>
    <col min="13" max="13" style="73" width="14.147857142857141" customWidth="1" bestFit="1"/>
    <col min="14" max="14" style="73" width="14.147857142857141" customWidth="1" bestFit="1"/>
    <col min="15" max="15" style="73" width="14.147857142857141" customWidth="1" bestFit="1"/>
    <col min="16" max="16" style="73" width="14.147857142857141" customWidth="1" bestFit="1"/>
    <col min="17" max="17" style="73" width="14.147857142857141" customWidth="1" bestFit="1"/>
    <col min="18" max="18" style="73" width="14.147857142857141" customWidth="1" bestFit="1"/>
    <col min="19" max="19" style="73" width="14.147857142857141" customWidth="1" bestFit="1"/>
    <col min="20" max="20" style="73" width="14.147857142857141" customWidth="1" bestFit="1"/>
    <col min="21" max="21" style="73" width="14.147857142857141" customWidth="1" bestFit="1"/>
    <col min="22" max="22" style="73" width="14.147857142857141" customWidth="1" bestFit="1"/>
    <col min="23" max="23" style="73" width="14.147857142857141" customWidth="1" bestFit="1"/>
    <col min="24" max="24" style="73" width="14.147857142857141" customWidth="1" bestFit="1"/>
    <col min="25" max="25" style="73" width="14.147857142857141" customWidth="1" bestFit="1"/>
    <col min="26" max="26" style="73" width="14.147857142857141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  <col min="30" max="30" style="73" width="14.147857142857141" customWidth="1" bestFit="1"/>
    <col min="31" max="31" style="73" width="14.147857142857141" customWidth="1" bestFit="1"/>
    <col min="32" max="32" style="73" width="14.147857142857141" customWidth="1" bestFit="1"/>
    <col min="33" max="33" style="73" width="14.147857142857141" customWidth="1" bestFit="1"/>
    <col min="34" max="34" style="73" width="14.147857142857141" customWidth="1" bestFit="1"/>
    <col min="35" max="35" style="73" width="14.147857142857141" customWidth="1" bestFit="1"/>
    <col min="36" max="36" style="73" width="14.147857142857141" customWidth="1" bestFit="1"/>
    <col min="37" max="37" style="73" width="14.147857142857141" customWidth="1" bestFit="1"/>
    <col min="38" max="38" style="73" width="14.147857142857141" customWidth="1" bestFit="1"/>
    <col min="39" max="39" style="73" width="14.147857142857141" customWidth="1" bestFit="1"/>
    <col min="40" max="40" style="73" width="14.147857142857141" customWidth="1" bestFit="1"/>
    <col min="41" max="41" style="73" width="14.147857142857141" customWidth="1" bestFit="1"/>
    <col min="42" max="42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19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x14ac:dyDescent="0.25" r="2" customHeight="1" ht="16.35">
      <c r="A2" s="2"/>
      <c r="B2" s="2"/>
      <c r="C2" s="2"/>
      <c r="D2" s="2"/>
      <c r="E2" s="2"/>
      <c r="F2" s="19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x14ac:dyDescent="0.25" r="3" customHeight="1" ht="21">
      <c r="A3" s="2"/>
      <c r="B3" s="2"/>
      <c r="C3" s="9" t="s">
        <v>354</v>
      </c>
      <c r="D3" s="8"/>
      <c r="E3" s="6"/>
      <c r="F3" s="297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x14ac:dyDescent="0.25" r="4" customHeight="1" ht="19.5">
      <c r="A4" s="2"/>
      <c r="B4" s="298"/>
      <c r="C4" s="129"/>
      <c r="D4" s="129"/>
      <c r="E4" s="108"/>
      <c r="F4" s="299"/>
      <c r="G4" s="108"/>
      <c r="H4" s="30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x14ac:dyDescent="0.25" r="5" customHeight="1" ht="14.4">
      <c r="A5" s="2"/>
      <c r="B5" s="301"/>
      <c r="C5" s="253" t="s">
        <v>355</v>
      </c>
      <c r="D5" s="253"/>
      <c r="E5" s="302"/>
      <c r="F5" s="303"/>
      <c r="G5" s="302"/>
      <c r="H5" s="16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x14ac:dyDescent="0.25" r="6" customHeight="1" ht="19.5">
      <c r="A6" s="2"/>
      <c r="B6" s="301"/>
      <c r="C6" s="302" t="s">
        <v>356</v>
      </c>
      <c r="D6" s="302"/>
      <c r="E6" s="304"/>
      <c r="F6" s="303"/>
      <c r="G6" s="302"/>
      <c r="H6" s="169"/>
      <c r="I6" s="2"/>
      <c r="J6" s="5"/>
      <c r="K6" s="5"/>
      <c r="L6" s="5"/>
      <c r="M6" s="5"/>
      <c r="N6" s="5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86"/>
    </row>
    <row x14ac:dyDescent="0.25" r="7" customHeight="1" ht="19.5">
      <c r="A7" s="2"/>
      <c r="B7" s="301"/>
      <c r="C7" s="302"/>
      <c r="D7" s="302"/>
      <c r="E7" s="253"/>
      <c r="F7" s="303"/>
      <c r="G7" s="302"/>
      <c r="H7" s="169"/>
      <c r="I7" s="2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6"/>
    </row>
    <row x14ac:dyDescent="0.25" r="8" customHeight="1" ht="19.5">
      <c r="A8" s="2"/>
      <c r="B8" s="301"/>
      <c r="C8" s="253" t="s">
        <v>37</v>
      </c>
      <c r="D8" s="253"/>
      <c r="E8" s="253" t="s">
        <v>357</v>
      </c>
      <c r="F8" s="305" t="s">
        <v>327</v>
      </c>
      <c r="G8" s="253"/>
      <c r="H8" s="169"/>
      <c r="I8" s="2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86"/>
    </row>
    <row x14ac:dyDescent="0.25" r="9" customHeight="1" ht="19.5">
      <c r="A9" s="2"/>
      <c r="B9" s="301"/>
      <c r="C9" s="246" t="s">
        <v>38</v>
      </c>
      <c r="D9" s="246"/>
      <c r="E9" s="306"/>
      <c r="F9" s="250">
        <f>E9*Kertoimet!C7</f>
      </c>
      <c r="G9" s="302"/>
      <c r="H9" s="16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86"/>
    </row>
    <row x14ac:dyDescent="0.25" r="10" customHeight="1" ht="19.5">
      <c r="A10" s="2"/>
      <c r="B10" s="301"/>
      <c r="C10" s="246" t="s">
        <v>39</v>
      </c>
      <c r="D10" s="246"/>
      <c r="E10" s="307"/>
      <c r="F10" s="250">
        <f>E10*Kertoimet!C8</f>
      </c>
      <c r="G10" s="302"/>
      <c r="H10" s="16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86"/>
    </row>
    <row x14ac:dyDescent="0.25" r="11" customHeight="1" ht="19.5">
      <c r="A11" s="2"/>
      <c r="B11" s="301"/>
      <c r="C11" s="244" t="s">
        <v>41</v>
      </c>
      <c r="D11" s="244"/>
      <c r="E11" s="306"/>
      <c r="F11" s="250">
        <f>E11*Kertoimet!C9</f>
      </c>
      <c r="G11" s="302"/>
      <c r="H11" s="16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86"/>
    </row>
    <row x14ac:dyDescent="0.25" r="12" customHeight="1" ht="19.5">
      <c r="A12" s="2"/>
      <c r="B12" s="301"/>
      <c r="C12" s="244" t="s">
        <v>42</v>
      </c>
      <c r="D12" s="244"/>
      <c r="E12" s="306"/>
      <c r="F12" s="250">
        <f>E12*Kertoimet!C10</f>
      </c>
      <c r="G12" s="302"/>
      <c r="H12" s="16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86"/>
    </row>
    <row x14ac:dyDescent="0.25" r="13" customHeight="1" ht="19.5">
      <c r="A13" s="2"/>
      <c r="B13" s="301"/>
      <c r="C13" s="302"/>
      <c r="D13" s="302"/>
      <c r="E13" s="251" t="s">
        <v>330</v>
      </c>
      <c r="F13" s="265">
        <f>SUM(F9:F12)</f>
      </c>
      <c r="G13" s="253" t="s">
        <v>327</v>
      </c>
      <c r="H13" s="16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x14ac:dyDescent="0.25" r="14" customHeight="1" ht="19.5">
      <c r="A14" s="2"/>
      <c r="B14" s="301"/>
      <c r="C14" s="302"/>
      <c r="D14" s="302"/>
      <c r="E14" s="308"/>
      <c r="F14" s="309"/>
      <c r="G14" s="253"/>
      <c r="H14" s="16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x14ac:dyDescent="0.25" r="15" customHeight="1" ht="19.5">
      <c r="A15" s="2"/>
      <c r="B15" s="301"/>
      <c r="C15" s="253" t="s">
        <v>358</v>
      </c>
      <c r="D15" s="253"/>
      <c r="E15" s="253" t="s">
        <v>357</v>
      </c>
      <c r="F15" s="305" t="s">
        <v>327</v>
      </c>
      <c r="G15" s="302"/>
      <c r="H15" s="16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x14ac:dyDescent="0.25" r="16" customHeight="1" ht="19.5">
      <c r="A16" s="2"/>
      <c r="B16" s="301"/>
      <c r="C16" s="302" t="s">
        <v>359</v>
      </c>
      <c r="D16" s="302"/>
      <c r="E16" s="247"/>
      <c r="F16" s="250">
        <f>E16*Kertoimet!C38</f>
      </c>
      <c r="G16" s="302"/>
      <c r="H16" s="16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x14ac:dyDescent="0.25" r="17" customHeight="1" ht="19.5">
      <c r="A17" s="2"/>
      <c r="B17" s="301"/>
      <c r="C17" s="302" t="s">
        <v>360</v>
      </c>
      <c r="D17" s="302"/>
      <c r="E17" s="247"/>
      <c r="F17" s="250">
        <f>E17*Kertoimet!C35</f>
      </c>
      <c r="G17" s="302"/>
      <c r="H17" s="16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x14ac:dyDescent="0.25" r="18" customHeight="1" ht="19.5">
      <c r="A18" s="2"/>
      <c r="B18" s="301"/>
      <c r="C18" s="302" t="s">
        <v>361</v>
      </c>
      <c r="D18" s="302"/>
      <c r="E18" s="306"/>
      <c r="F18" s="250">
        <f>E18*Kertoimet!C37</f>
      </c>
      <c r="G18" s="302"/>
      <c r="H18" s="16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x14ac:dyDescent="0.25" r="19" customHeight="1" ht="19.5">
      <c r="A19" s="2"/>
      <c r="B19" s="301"/>
      <c r="C19" s="302" t="s">
        <v>362</v>
      </c>
      <c r="D19" s="302"/>
      <c r="E19" s="306"/>
      <c r="F19" s="250">
        <f>E19*Kertoimet!C36</f>
      </c>
      <c r="G19" s="302"/>
      <c r="H19" s="16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x14ac:dyDescent="0.25" r="20" customHeight="1" ht="19.5">
      <c r="A20" s="2"/>
      <c r="B20" s="301"/>
      <c r="C20" s="302" t="s">
        <v>133</v>
      </c>
      <c r="D20" s="302"/>
      <c r="E20" s="306"/>
      <c r="F20" s="250">
        <f>E20*Kertoimet!C39</f>
      </c>
      <c r="G20" s="302"/>
      <c r="H20" s="16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55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x14ac:dyDescent="0.25" r="21" customHeight="1" ht="19.5">
      <c r="A21" s="2"/>
      <c r="B21" s="301"/>
      <c r="C21" s="302" t="s">
        <v>134</v>
      </c>
      <c r="D21" s="302"/>
      <c r="E21" s="306"/>
      <c r="F21" s="250">
        <f>E21*Kertoimet!C40</f>
      </c>
      <c r="G21" s="302"/>
      <c r="H21" s="16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x14ac:dyDescent="0.25" r="22" customHeight="1" ht="19.5">
      <c r="A22" s="2"/>
      <c r="B22" s="301"/>
      <c r="C22" s="302"/>
      <c r="D22" s="302"/>
      <c r="E22" s="251" t="s">
        <v>330</v>
      </c>
      <c r="F22" s="265">
        <f>SUM(F16:F19)</f>
      </c>
      <c r="G22" s="253" t="s">
        <v>327</v>
      </c>
      <c r="H22" s="16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x14ac:dyDescent="0.25" r="23" customHeight="1" ht="19.5">
      <c r="A23" s="2"/>
      <c r="B23" s="301"/>
      <c r="C23" s="253" t="s">
        <v>363</v>
      </c>
      <c r="D23" s="253"/>
      <c r="E23" s="253" t="s">
        <v>364</v>
      </c>
      <c r="F23" s="305"/>
      <c r="G23" s="253"/>
      <c r="H23" s="16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x14ac:dyDescent="0.25" r="24" customHeight="1" ht="19.5">
      <c r="A24" s="2"/>
      <c r="B24" s="301"/>
      <c r="C24" s="302" t="s">
        <v>365</v>
      </c>
      <c r="D24" s="302"/>
      <c r="E24" s="247"/>
      <c r="F24" s="250">
        <f>E24*Kertoimet!C43</f>
      </c>
      <c r="G24" s="302"/>
      <c r="H24" s="16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x14ac:dyDescent="0.25" r="25" customHeight="1" ht="19.5">
      <c r="A25" s="2"/>
      <c r="B25" s="301"/>
      <c r="C25" s="302" t="s">
        <v>366</v>
      </c>
      <c r="D25" s="302"/>
      <c r="E25" s="306"/>
      <c r="F25" s="250">
        <f>E25*Kertoimet!C42</f>
      </c>
      <c r="G25" s="302"/>
      <c r="H25" s="16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x14ac:dyDescent="0.25" r="26" customHeight="1" ht="19.5">
      <c r="A26" s="2"/>
      <c r="B26" s="301"/>
      <c r="C26" s="302"/>
      <c r="D26" s="302"/>
      <c r="E26" s="251" t="s">
        <v>330</v>
      </c>
      <c r="F26" s="265">
        <f>SUM(F24+F25)</f>
      </c>
      <c r="G26" s="253" t="s">
        <v>327</v>
      </c>
      <c r="H26" s="16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x14ac:dyDescent="0.25" r="27" customHeight="1" ht="19.5">
      <c r="A27" s="2"/>
      <c r="B27" s="301"/>
      <c r="C27" s="302"/>
      <c r="D27" s="302"/>
      <c r="E27" s="253"/>
      <c r="F27" s="254"/>
      <c r="G27" s="253"/>
      <c r="H27" s="16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x14ac:dyDescent="0.25" r="28" customHeight="1" ht="19.5">
      <c r="A28" s="2"/>
      <c r="B28" s="301"/>
      <c r="C28" s="253" t="s">
        <v>50</v>
      </c>
      <c r="D28" s="253"/>
      <c r="E28" s="253" t="s">
        <v>367</v>
      </c>
      <c r="F28" s="305" t="s">
        <v>327</v>
      </c>
      <c r="G28" s="253"/>
      <c r="H28" s="16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x14ac:dyDescent="0.25" r="29" customHeight="1" ht="19.5">
      <c r="A29" s="2"/>
      <c r="B29" s="301"/>
      <c r="C29" s="302" t="s">
        <v>368</v>
      </c>
      <c r="D29" s="302"/>
      <c r="E29" s="247"/>
      <c r="F29" s="250">
        <f>E29*Kertoimet!C13</f>
      </c>
      <c r="G29" s="302"/>
      <c r="H29" s="1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x14ac:dyDescent="0.25" r="30" customHeight="1" ht="19.5">
      <c r="A30" s="2"/>
      <c r="B30" s="301"/>
      <c r="C30" s="302" t="s">
        <v>102</v>
      </c>
      <c r="D30" s="302"/>
      <c r="E30" s="247"/>
      <c r="F30" s="250">
        <f>E30*Kertoimet!C14</f>
      </c>
      <c r="G30" s="302"/>
      <c r="H30" s="1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x14ac:dyDescent="0.25" r="31" customHeight="1" ht="19.5">
      <c r="A31" s="2"/>
      <c r="B31" s="301"/>
      <c r="C31" s="302" t="s">
        <v>103</v>
      </c>
      <c r="D31" s="302"/>
      <c r="E31" s="247"/>
      <c r="F31" s="250">
        <f>E31*Kertoimet!C15</f>
      </c>
      <c r="G31" s="302"/>
      <c r="H31" s="16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x14ac:dyDescent="0.25" r="32" customHeight="1" ht="19.5">
      <c r="A32" s="2"/>
      <c r="B32" s="301"/>
      <c r="C32" s="302" t="s">
        <v>104</v>
      </c>
      <c r="D32" s="302"/>
      <c r="E32" s="247"/>
      <c r="F32" s="250">
        <f>E32*Kertoimet!C16</f>
      </c>
      <c r="G32" s="302"/>
      <c r="H32" s="16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x14ac:dyDescent="0.25" r="33" customHeight="1" ht="19.5">
      <c r="A33" s="2"/>
      <c r="B33" s="301"/>
      <c r="C33" s="302" t="s">
        <v>105</v>
      </c>
      <c r="D33" s="302"/>
      <c r="E33" s="247"/>
      <c r="F33" s="250">
        <f>E33*Kertoimet!C17</f>
      </c>
      <c r="G33" s="302"/>
      <c r="H33" s="169"/>
      <c r="I33" s="2"/>
      <c r="J33" s="26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x14ac:dyDescent="0.25" r="34" customHeight="1" ht="19.5">
      <c r="A34" s="2"/>
      <c r="B34" s="301"/>
      <c r="C34" s="302" t="s">
        <v>107</v>
      </c>
      <c r="D34" s="302"/>
      <c r="E34" s="247"/>
      <c r="F34" s="250">
        <f>E34*Kertoimet!C18</f>
      </c>
      <c r="G34" s="302"/>
      <c r="H34" s="16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x14ac:dyDescent="0.25" r="35" customHeight="1" ht="19.5">
      <c r="A35" s="2"/>
      <c r="B35" s="301"/>
      <c r="C35" s="302" t="s">
        <v>110</v>
      </c>
      <c r="D35" s="302"/>
      <c r="E35" s="247"/>
      <c r="F35" s="250">
        <f>E35*Kertoimet!C19</f>
      </c>
      <c r="G35" s="302"/>
      <c r="H35" s="16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x14ac:dyDescent="0.25" r="36" customHeight="1" ht="19.5">
      <c r="A36" s="2"/>
      <c r="B36" s="301"/>
      <c r="C36" s="302" t="s">
        <v>112</v>
      </c>
      <c r="D36" s="302"/>
      <c r="E36" s="247"/>
      <c r="F36" s="250">
        <f>E36*Kertoimet!C20</f>
      </c>
      <c r="G36" s="302"/>
      <c r="H36" s="16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x14ac:dyDescent="0.25" r="37" customHeight="1" ht="19.5">
      <c r="A37" s="2"/>
      <c r="B37" s="301"/>
      <c r="C37" s="302"/>
      <c r="D37" s="302"/>
      <c r="E37" s="251" t="s">
        <v>330</v>
      </c>
      <c r="F37" s="265">
        <f>SUM(F29:F36)</f>
      </c>
      <c r="G37" s="253" t="s">
        <v>327</v>
      </c>
      <c r="H37" s="16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x14ac:dyDescent="0.25" r="38" customHeight="1" ht="19.5">
      <c r="A38" s="2"/>
      <c r="B38" s="301"/>
      <c r="C38" s="302"/>
      <c r="D38" s="302"/>
      <c r="E38" s="310"/>
      <c r="F38" s="309"/>
      <c r="G38" s="302"/>
      <c r="H38" s="16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x14ac:dyDescent="0.25" r="39" customHeight="1" ht="19.5">
      <c r="A39" s="2"/>
      <c r="B39" s="301"/>
      <c r="C39" s="253" t="s">
        <v>32</v>
      </c>
      <c r="D39" s="253"/>
      <c r="E39" s="253" t="s">
        <v>367</v>
      </c>
      <c r="F39" s="305" t="s">
        <v>327</v>
      </c>
      <c r="G39" s="253"/>
      <c r="H39" s="16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x14ac:dyDescent="0.25" r="40" customHeight="1" ht="14.4">
      <c r="A40" s="2"/>
      <c r="B40" s="301"/>
      <c r="C40" s="302" t="s">
        <v>51</v>
      </c>
      <c r="D40" s="302"/>
      <c r="E40" s="307"/>
      <c r="F40" s="248">
        <f>E40*Kertoimet!C48</f>
      </c>
      <c r="G40" s="253"/>
      <c r="H40" s="16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x14ac:dyDescent="0.25" r="41" customHeight="1" ht="19.5">
      <c r="A41" s="2"/>
      <c r="B41" s="301"/>
      <c r="C41" s="302"/>
      <c r="D41" s="302"/>
      <c r="E41" s="253" t="s">
        <v>364</v>
      </c>
      <c r="F41" s="279"/>
      <c r="G41" s="253"/>
      <c r="H41" s="169"/>
      <c r="I41" s="2"/>
      <c r="J41" s="2"/>
      <c r="K41" s="3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x14ac:dyDescent="0.25" r="42" customHeight="1" ht="19.5">
      <c r="A42" s="2"/>
      <c r="B42" s="301"/>
      <c r="C42" s="302" t="s">
        <v>44</v>
      </c>
      <c r="D42" s="302"/>
      <c r="E42" s="307"/>
      <c r="F42" s="277">
        <f>E42*Kertoimet!C49</f>
      </c>
      <c r="G42" s="253"/>
      <c r="H42" s="169"/>
      <c r="I42" s="2"/>
      <c r="J42" s="2"/>
      <c r="K42" s="255"/>
      <c r="L42" s="2"/>
      <c r="M42" s="2"/>
      <c r="N42" s="2"/>
      <c r="O42" s="2"/>
      <c r="P42" s="2"/>
      <c r="Q42" s="2"/>
      <c r="R42" s="2"/>
      <c r="S42" s="2"/>
      <c r="T42" s="2"/>
      <c r="U42" s="2"/>
      <c r="V42" s="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x14ac:dyDescent="0.25" r="43" customHeight="1" ht="15">
      <c r="A43" s="2"/>
      <c r="B43" s="301"/>
      <c r="C43" s="302" t="s">
        <v>52</v>
      </c>
      <c r="D43" s="302"/>
      <c r="E43" s="307"/>
      <c r="F43" s="250">
        <f>E43*Kertoimet!C50</f>
      </c>
      <c r="G43" s="253"/>
      <c r="H43" s="16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9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x14ac:dyDescent="0.25" r="44" customHeight="1" ht="18">
      <c r="A44" s="2"/>
      <c r="B44" s="301"/>
      <c r="C44" s="302"/>
      <c r="D44" s="302"/>
      <c r="E44" s="251" t="s">
        <v>330</v>
      </c>
      <c r="F44" s="265">
        <f>SUM(F40:F43)</f>
      </c>
      <c r="G44" s="253" t="s">
        <v>327</v>
      </c>
      <c r="H44" s="16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x14ac:dyDescent="0.25" r="45" customHeight="1" ht="18">
      <c r="A45" s="2"/>
      <c r="B45" s="301"/>
      <c r="C45" s="302"/>
      <c r="D45" s="302"/>
      <c r="E45" s="302"/>
      <c r="F45" s="254"/>
      <c r="G45" s="253"/>
      <c r="H45" s="16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9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x14ac:dyDescent="0.25" r="46" customHeight="1" ht="16.95">
      <c r="A46" s="2"/>
      <c r="B46" s="301"/>
      <c r="C46" s="312"/>
      <c r="D46" s="312"/>
      <c r="E46" s="22"/>
      <c r="F46" s="313" t="s">
        <v>349</v>
      </c>
      <c r="G46" s="2"/>
      <c r="H46" s="31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x14ac:dyDescent="0.25" r="47" customHeight="1" ht="19.2">
      <c r="A47" s="2"/>
      <c r="B47" s="315"/>
      <c r="C47" s="316" t="s">
        <v>369</v>
      </c>
      <c r="D47" s="316"/>
      <c r="E47" s="317"/>
      <c r="F47" s="318">
        <f>SUM(F26+F22+F37+F13+F44)</f>
      </c>
      <c r="G47" s="293" t="s">
        <v>25</v>
      </c>
      <c r="H47" s="31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1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x14ac:dyDescent="0.25" r="48" customHeight="1" ht="18.6">
      <c r="A48" s="2"/>
      <c r="B48" s="320"/>
      <c r="C48" s="290" t="s">
        <v>370</v>
      </c>
      <c r="D48" s="290"/>
      <c r="E48" s="291"/>
      <c r="F48" s="321">
        <f>IF(E6&lt;&gt;"",F47/E6,"0,00")</f>
      </c>
      <c r="G48" s="293" t="s">
        <v>25</v>
      </c>
      <c r="H48" s="32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x14ac:dyDescent="0.25" r="49" customHeight="1" ht="19.5">
      <c r="A49" s="6"/>
      <c r="B49" s="6"/>
      <c r="C49" s="6"/>
      <c r="D49" s="6"/>
      <c r="E49" s="6"/>
      <c r="F49" s="297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x14ac:dyDescent="0.25" r="50" customHeight="1" ht="19.5">
      <c r="A50" s="2"/>
      <c r="B50" s="2"/>
      <c r="C50" s="9" t="s">
        <v>371</v>
      </c>
      <c r="D50" s="323"/>
      <c r="E50" s="2"/>
      <c r="F50" s="19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x14ac:dyDescent="0.25" r="51" customHeight="1" ht="19.5">
      <c r="A51" s="2"/>
      <c r="B51" s="324"/>
      <c r="C51" s="121"/>
      <c r="D51" s="121"/>
      <c r="E51" s="121"/>
      <c r="F51" s="325"/>
      <c r="G51" s="121"/>
      <c r="H51" s="32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x14ac:dyDescent="0.25" r="52" customHeight="1" ht="19.5">
      <c r="A52" s="2"/>
      <c r="B52" s="327"/>
      <c r="C52" s="253" t="s">
        <v>372</v>
      </c>
      <c r="D52" s="253"/>
      <c r="E52" s="302"/>
      <c r="F52" s="303"/>
      <c r="G52" s="246"/>
      <c r="H52" s="328"/>
      <c r="I52" s="2"/>
      <c r="J52" s="5"/>
      <c r="K52" s="5"/>
      <c r="L52" s="5"/>
      <c r="M52" s="5"/>
      <c r="N52" s="5"/>
      <c r="O52" s="5"/>
      <c r="P52" s="5"/>
      <c r="Q52" s="5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x14ac:dyDescent="0.25" r="53" customHeight="1" ht="19.5">
      <c r="A53" s="86"/>
      <c r="B53" s="327"/>
      <c r="C53" s="246" t="s">
        <v>373</v>
      </c>
      <c r="D53" s="246"/>
      <c r="E53" s="329"/>
      <c r="F53" s="303"/>
      <c r="G53" s="246"/>
      <c r="H53" s="328"/>
      <c r="I53" s="2"/>
      <c r="J53" s="2"/>
      <c r="K53" s="86"/>
      <c r="L53" s="330"/>
      <c r="M53" s="330"/>
      <c r="N53" s="330"/>
      <c r="O53" s="86"/>
      <c r="P53" s="86"/>
      <c r="Q53" s="86"/>
      <c r="R53" s="86"/>
      <c r="S53" s="86"/>
      <c r="T53" s="8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x14ac:dyDescent="0.25" r="54" customHeight="1" ht="19.5">
      <c r="A54" s="86"/>
      <c r="B54" s="327"/>
      <c r="C54" s="253" t="s">
        <v>374</v>
      </c>
      <c r="D54" s="253"/>
      <c r="E54" s="253" t="s">
        <v>375</v>
      </c>
      <c r="F54" s="305" t="s">
        <v>327</v>
      </c>
      <c r="G54" s="246"/>
      <c r="H54" s="328"/>
      <c r="I54" s="2"/>
      <c r="J54" s="2"/>
      <c r="K54" s="86"/>
      <c r="L54" s="2"/>
      <c r="M54" s="2"/>
      <c r="N54" s="2"/>
      <c r="O54" s="86"/>
      <c r="P54" s="86"/>
      <c r="Q54" s="86"/>
      <c r="R54" s="86"/>
      <c r="S54" s="86"/>
      <c r="T54" s="8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x14ac:dyDescent="0.25" r="55" customHeight="1" ht="19.5">
      <c r="A55" s="86"/>
      <c r="B55" s="327"/>
      <c r="C55" s="247" t="s">
        <v>99</v>
      </c>
      <c r="D55" s="246"/>
      <c r="E55" s="331"/>
      <c r="F55" s="250">
        <f>E55*VLOOKUP(C55,Kertoimet!B13:C20,2,FALSE)</f>
      </c>
      <c r="G55" s="246"/>
      <c r="H55" s="328"/>
      <c r="I55" s="2"/>
      <c r="J55" s="2"/>
      <c r="K55" s="86"/>
      <c r="L55" s="2"/>
      <c r="M55" s="2"/>
      <c r="N55" s="2"/>
      <c r="O55" s="86"/>
      <c r="P55" s="86"/>
      <c r="Q55" s="86"/>
      <c r="R55" s="86"/>
      <c r="S55" s="86"/>
      <c r="T55" s="8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x14ac:dyDescent="0.25" r="56" customHeight="1" ht="19.5">
      <c r="A56" s="86"/>
      <c r="B56" s="327"/>
      <c r="C56" s="302"/>
      <c r="D56" s="302"/>
      <c r="E56" s="251" t="s">
        <v>330</v>
      </c>
      <c r="F56" s="265">
        <f>IF(E53&lt;&gt;"",F55/E53,F55)</f>
      </c>
      <c r="G56" s="253" t="s">
        <v>327</v>
      </c>
      <c r="H56" s="328"/>
      <c r="I56" s="2"/>
      <c r="J56" s="2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x14ac:dyDescent="0.25" r="57" customHeight="1" ht="19.5">
      <c r="A57" s="86"/>
      <c r="B57" s="327"/>
      <c r="C57" s="251"/>
      <c r="D57" s="251"/>
      <c r="E57" s="253"/>
      <c r="F57" s="332"/>
      <c r="G57" s="253"/>
      <c r="H57" s="328"/>
      <c r="I57" s="2"/>
      <c r="J57" s="2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x14ac:dyDescent="0.25" r="58" customHeight="1" ht="19.5">
      <c r="A58" s="86"/>
      <c r="B58" s="327"/>
      <c r="C58" s="253" t="s">
        <v>29</v>
      </c>
      <c r="D58" s="253"/>
      <c r="E58" s="253" t="s">
        <v>375</v>
      </c>
      <c r="F58" s="305" t="s">
        <v>327</v>
      </c>
      <c r="G58" s="246"/>
      <c r="H58" s="328"/>
      <c r="I58" s="2"/>
      <c r="J58" s="2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x14ac:dyDescent="0.25" r="59" customHeight="1" ht="19.5">
      <c r="A59" s="86"/>
      <c r="B59" s="327"/>
      <c r="C59" s="246" t="s">
        <v>116</v>
      </c>
      <c r="D59" s="246"/>
      <c r="E59" s="331"/>
      <c r="F59" s="250">
        <f>E59*Kertoimet!C25</f>
      </c>
      <c r="G59" s="246"/>
      <c r="H59" s="328"/>
      <c r="I59" s="2"/>
      <c r="J59" s="2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x14ac:dyDescent="0.25" r="60" customHeight="1" ht="19.5">
      <c r="A60" s="2"/>
      <c r="B60" s="327"/>
      <c r="C60" s="246" t="s">
        <v>115</v>
      </c>
      <c r="D60" s="246"/>
      <c r="E60" s="333"/>
      <c r="F60" s="248">
        <f>E60*Kertoimet!C24</f>
      </c>
      <c r="G60" s="246"/>
      <c r="H60" s="32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x14ac:dyDescent="0.25" r="61" customHeight="1" ht="19.5">
      <c r="A61" s="2"/>
      <c r="B61" s="327"/>
      <c r="C61" s="246" t="s">
        <v>113</v>
      </c>
      <c r="D61" s="246"/>
      <c r="E61" s="331"/>
      <c r="F61" s="250">
        <f>E61*Kertoimet!C23</f>
      </c>
      <c r="G61" s="246"/>
      <c r="H61" s="32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x14ac:dyDescent="0.25" r="62" customHeight="1" ht="19.5">
      <c r="A62" s="2"/>
      <c r="B62" s="327"/>
      <c r="C62" s="246"/>
      <c r="D62" s="246"/>
      <c r="E62" s="334" t="s">
        <v>376</v>
      </c>
      <c r="F62" s="305" t="s">
        <v>327</v>
      </c>
      <c r="G62" s="246"/>
      <c r="H62" s="94"/>
      <c r="I62" s="30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x14ac:dyDescent="0.25" r="63" customHeight="1" ht="19.5">
      <c r="A63" s="2"/>
      <c r="B63" s="327"/>
      <c r="C63" s="246" t="s">
        <v>123</v>
      </c>
      <c r="D63" s="246"/>
      <c r="E63" s="335"/>
      <c r="F63" s="250">
        <f>E63*Kertoimet!C30</f>
      </c>
      <c r="G63" s="246"/>
      <c r="H63" s="32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x14ac:dyDescent="0.25" r="64" customHeight="1" ht="19.5">
      <c r="A64" s="2"/>
      <c r="B64" s="327"/>
      <c r="C64" s="246" t="s">
        <v>125</v>
      </c>
      <c r="D64" s="246"/>
      <c r="E64" s="331"/>
      <c r="F64" s="250">
        <f>E64*Kertoimet!C31</f>
      </c>
      <c r="G64" s="246"/>
      <c r="H64" s="32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x14ac:dyDescent="0.25" r="65" customHeight="1" ht="19.5">
      <c r="A65" s="2"/>
      <c r="B65" s="327"/>
      <c r="C65" s="246" t="s">
        <v>126</v>
      </c>
      <c r="D65" s="246"/>
      <c r="E65" s="331"/>
      <c r="F65" s="250">
        <f>E65*Kertoimet!C32</f>
      </c>
      <c r="G65" s="246"/>
      <c r="H65" s="328"/>
      <c r="I65" s="2"/>
      <c r="J65" s="8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x14ac:dyDescent="0.25" r="66" customHeight="1" ht="19.5">
      <c r="A66" s="2"/>
      <c r="B66" s="327"/>
      <c r="C66" s="246"/>
      <c r="D66" s="246"/>
      <c r="E66" s="251" t="s">
        <v>330</v>
      </c>
      <c r="F66" s="265">
        <f>SUM(F59:F65)</f>
      </c>
      <c r="G66" s="253" t="s">
        <v>327</v>
      </c>
      <c r="H66" s="32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x14ac:dyDescent="0.25" r="67" customHeight="1" ht="19.5">
      <c r="A67" s="2"/>
      <c r="B67" s="327"/>
      <c r="C67" s="246"/>
      <c r="D67" s="246"/>
      <c r="E67" s="246"/>
      <c r="F67" s="254"/>
      <c r="G67" s="246"/>
      <c r="H67" s="32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x14ac:dyDescent="0.25" r="68" customHeight="1" ht="19.5">
      <c r="A68" s="2"/>
      <c r="B68" s="327"/>
      <c r="C68" s="253" t="s">
        <v>377</v>
      </c>
      <c r="D68" s="253"/>
      <c r="E68" s="336" t="s">
        <v>357</v>
      </c>
      <c r="F68" s="305" t="s">
        <v>327</v>
      </c>
      <c r="G68" s="246"/>
      <c r="H68" s="328"/>
      <c r="I68" s="2"/>
      <c r="J68" s="6" t="s">
        <v>35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x14ac:dyDescent="0.25" r="69" customHeight="1" ht="19.5">
      <c r="A69" s="6"/>
      <c r="B69" s="327"/>
      <c r="C69" s="246" t="s">
        <v>378</v>
      </c>
      <c r="D69" s="246"/>
      <c r="E69" s="331"/>
      <c r="F69" s="250">
        <f>E69*Kertoimet!C35</f>
      </c>
      <c r="G69" s="246"/>
      <c r="H69" s="32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x14ac:dyDescent="0.25" r="70" customHeight="1" ht="19.5">
      <c r="A70" s="6"/>
      <c r="B70" s="327"/>
      <c r="C70" s="246" t="s">
        <v>379</v>
      </c>
      <c r="D70" s="246"/>
      <c r="E70" s="331"/>
      <c r="F70" s="250">
        <f>E70*Kertoimet!C38</f>
      </c>
      <c r="G70" s="246"/>
      <c r="H70" s="32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x14ac:dyDescent="0.25" r="71" customHeight="1" ht="19.5">
      <c r="A71" s="6"/>
      <c r="B71" s="327"/>
      <c r="C71" s="246"/>
      <c r="D71" s="246"/>
      <c r="E71" s="302"/>
      <c r="F71" s="254"/>
      <c r="G71" s="246"/>
      <c r="H71" s="32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x14ac:dyDescent="0.25" r="72" customHeight="1" ht="19.5">
      <c r="A72" s="6"/>
      <c r="B72" s="327"/>
      <c r="C72" s="246" t="s">
        <v>380</v>
      </c>
      <c r="D72" s="246"/>
      <c r="E72" s="331"/>
      <c r="F72" s="250">
        <f>E72*Kertoimet!C36</f>
      </c>
      <c r="G72" s="246"/>
      <c r="H72" s="32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x14ac:dyDescent="0.25" r="73" customHeight="1" ht="19.5">
      <c r="A73" s="6"/>
      <c r="B73" s="327"/>
      <c r="C73" s="246" t="s">
        <v>381</v>
      </c>
      <c r="D73" s="246"/>
      <c r="E73" s="331"/>
      <c r="F73" s="250">
        <f>E73*Kertoimet!C37</f>
      </c>
      <c r="G73" s="246"/>
      <c r="H73" s="32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x14ac:dyDescent="0.25" r="74" customHeight="1" ht="19.5">
      <c r="A74" s="6"/>
      <c r="B74" s="327"/>
      <c r="C74" s="302"/>
      <c r="D74" s="302"/>
      <c r="E74" s="302"/>
      <c r="F74" s="303"/>
      <c r="G74" s="302"/>
      <c r="H74" s="32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x14ac:dyDescent="0.25" r="75" customHeight="1" ht="19.5">
      <c r="A75" s="6"/>
      <c r="B75" s="327"/>
      <c r="C75" s="246" t="s">
        <v>133</v>
      </c>
      <c r="D75" s="246"/>
      <c r="E75" s="304"/>
      <c r="F75" s="250">
        <f>E76*Kertoimet!C39</f>
      </c>
      <c r="G75" s="253"/>
      <c r="H75" s="32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x14ac:dyDescent="0.25" r="76" customHeight="1" ht="19.5">
      <c r="A76" s="8"/>
      <c r="B76" s="327"/>
      <c r="C76" s="246" t="s">
        <v>134</v>
      </c>
      <c r="D76" s="246"/>
      <c r="E76" s="304"/>
      <c r="F76" s="250">
        <f>E76*Kertoimet!C40</f>
      </c>
      <c r="G76" s="253"/>
      <c r="H76" s="32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x14ac:dyDescent="0.25" r="77" customHeight="1" ht="19.5">
      <c r="A77" s="94"/>
      <c r="B77" s="327"/>
      <c r="C77" s="246"/>
      <c r="D77" s="246"/>
      <c r="E77" s="251" t="s">
        <v>330</v>
      </c>
      <c r="F77" s="265">
        <f>SUM(F69+F70+F72+F73)</f>
      </c>
      <c r="G77" s="253" t="s">
        <v>327</v>
      </c>
      <c r="H77" s="32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x14ac:dyDescent="0.25" r="78" customHeight="1" ht="19.5">
      <c r="A78" s="94"/>
      <c r="B78" s="327"/>
      <c r="C78" s="246"/>
      <c r="D78" s="246"/>
      <c r="E78" s="253"/>
      <c r="F78" s="332"/>
      <c r="G78" s="253"/>
      <c r="H78" s="32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x14ac:dyDescent="0.25" r="79" customHeight="1" ht="19.5">
      <c r="A79" s="94"/>
      <c r="B79" s="327"/>
      <c r="C79" s="253" t="s">
        <v>32</v>
      </c>
      <c r="D79" s="253"/>
      <c r="E79" s="253" t="s">
        <v>375</v>
      </c>
      <c r="F79" s="305" t="s">
        <v>327</v>
      </c>
      <c r="G79" s="246"/>
      <c r="H79" s="328"/>
      <c r="I79" s="2"/>
      <c r="J79" s="2"/>
      <c r="K79" s="2"/>
      <c r="L79" s="2"/>
      <c r="M79" s="2"/>
      <c r="N79" s="2"/>
      <c r="O79" s="6" t="s">
        <v>35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x14ac:dyDescent="0.25" r="80" customHeight="1" ht="19.5">
      <c r="A80" s="8"/>
      <c r="B80" s="327"/>
      <c r="C80" s="246" t="s">
        <v>382</v>
      </c>
      <c r="D80" s="246"/>
      <c r="E80" s="331"/>
      <c r="F80" s="250">
        <f>E80*0</f>
      </c>
      <c r="G80" s="246"/>
      <c r="H80" s="32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x14ac:dyDescent="0.25" r="81" customHeight="1" ht="19.5">
      <c r="A81" s="94"/>
      <c r="B81" s="327"/>
      <c r="C81" s="246" t="s">
        <v>119</v>
      </c>
      <c r="D81" s="246"/>
      <c r="E81" s="331"/>
      <c r="F81" s="250">
        <f>E81*Kertoimet!C27</f>
      </c>
      <c r="G81" s="246"/>
      <c r="H81" s="32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x14ac:dyDescent="0.25" r="82" customHeight="1" ht="19.5">
      <c r="A82" s="8"/>
      <c r="B82" s="327"/>
      <c r="C82" s="246" t="s">
        <v>383</v>
      </c>
      <c r="D82" s="246"/>
      <c r="E82" s="331"/>
      <c r="F82" s="250">
        <f>E82*0</f>
      </c>
      <c r="G82" s="246"/>
      <c r="H82" s="32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x14ac:dyDescent="0.25" r="83" customHeight="1" ht="19.5">
      <c r="A83" s="94"/>
      <c r="B83" s="327"/>
      <c r="C83" s="246" t="s">
        <v>384</v>
      </c>
      <c r="D83" s="246"/>
      <c r="E83" s="331"/>
      <c r="F83" s="250">
        <f>E83*Kertoimet!C26</f>
      </c>
      <c r="G83" s="246"/>
      <c r="H83" s="32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x14ac:dyDescent="0.25" r="84" customHeight="1" ht="19.5">
      <c r="A84" s="8"/>
      <c r="B84" s="327"/>
      <c r="C84" s="310"/>
      <c r="D84" s="310"/>
      <c r="E84" s="251" t="s">
        <v>330</v>
      </c>
      <c r="F84" s="265">
        <f>SUM(F80+F81+F82+F83)</f>
      </c>
      <c r="G84" s="253" t="s">
        <v>327</v>
      </c>
      <c r="H84" s="32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x14ac:dyDescent="0.25" r="85" customHeight="1" ht="19.5">
      <c r="A85" s="8"/>
      <c r="B85" s="327"/>
      <c r="C85" s="246"/>
      <c r="D85" s="246"/>
      <c r="E85" s="246"/>
      <c r="F85" s="337"/>
      <c r="G85" s="246"/>
      <c r="H85" s="32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x14ac:dyDescent="0.25" r="86" customHeight="1" ht="19.5">
      <c r="A86" s="94"/>
      <c r="B86" s="338"/>
      <c r="C86" s="312"/>
      <c r="D86" s="312"/>
      <c r="E86" s="312"/>
      <c r="F86" s="313" t="s">
        <v>349</v>
      </c>
      <c r="G86" s="312"/>
      <c r="H86" s="33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x14ac:dyDescent="0.25" r="87" customHeight="1" ht="19.5">
      <c r="A87" s="94"/>
      <c r="B87" s="289"/>
      <c r="C87" s="290" t="s">
        <v>385</v>
      </c>
      <c r="D87" s="290"/>
      <c r="E87" s="290"/>
      <c r="F87" s="321">
        <f>SUM(F56+F66+F75+F84)</f>
      </c>
      <c r="G87" s="293" t="s">
        <v>25</v>
      </c>
      <c r="H87" s="32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x14ac:dyDescent="0.25" r="88" customHeight="1" ht="19.5">
      <c r="A88" s="340"/>
      <c r="B88" s="2"/>
      <c r="C88" s="2"/>
      <c r="D88" s="2"/>
      <c r="E88" s="2"/>
      <c r="F88" s="19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x14ac:dyDescent="0.25" r="89" customHeight="1" ht="19.5">
      <c r="A89" s="2"/>
      <c r="B89" s="2"/>
      <c r="C89" s="2"/>
      <c r="D89" s="2"/>
      <c r="E89" s="2"/>
      <c r="F89" s="19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x14ac:dyDescent="0.25" r="90" customHeight="1" ht="19.5">
      <c r="A90" s="6"/>
      <c r="B90" s="6"/>
      <c r="C90" s="6"/>
      <c r="D90" s="6"/>
      <c r="E90" s="6"/>
      <c r="F90" s="297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x14ac:dyDescent="0.25" r="91" customHeight="1" ht="14.4">
      <c r="A91" s="6"/>
      <c r="B91" s="6"/>
      <c r="C91" s="8"/>
      <c r="D91" s="8"/>
      <c r="E91" s="6"/>
      <c r="F91" s="297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x14ac:dyDescent="0.25" r="92" customHeight="1" ht="14.4">
      <c r="A92" s="6"/>
      <c r="B92" s="6"/>
      <c r="C92" s="8"/>
      <c r="D92" s="8"/>
      <c r="E92" s="6"/>
      <c r="F92" s="297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x14ac:dyDescent="0.25" r="93" customHeight="1" ht="19.5">
      <c r="A93" s="6"/>
      <c r="B93" s="6"/>
      <c r="C93" s="6"/>
      <c r="D93" s="6"/>
      <c r="E93" s="94"/>
      <c r="F93" s="59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x14ac:dyDescent="0.25" r="94" customHeight="1" ht="19.5">
      <c r="A94" s="6"/>
      <c r="B94" s="6"/>
      <c r="C94" s="6"/>
      <c r="D94" s="6"/>
      <c r="E94" s="94"/>
      <c r="F94" s="59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x14ac:dyDescent="0.25" r="95" customHeight="1" ht="19.5">
      <c r="A95" s="6"/>
      <c r="B95" s="6"/>
      <c r="C95" s="6"/>
      <c r="D95" s="6"/>
      <c r="E95" s="94"/>
      <c r="F95" s="59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x14ac:dyDescent="0.25" r="96" customHeight="1" ht="19.5">
      <c r="A96" s="6"/>
      <c r="B96" s="6"/>
      <c r="C96" s="6"/>
      <c r="D96" s="6"/>
      <c r="E96" s="94"/>
      <c r="F96" s="59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x14ac:dyDescent="0.25" r="97" customHeight="1" ht="19.5">
      <c r="A97" s="6"/>
      <c r="B97" s="6"/>
      <c r="C97" s="6"/>
      <c r="D97" s="6"/>
      <c r="E97" s="94"/>
      <c r="F97" s="59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x14ac:dyDescent="0.25" r="98" customHeight="1" ht="19.5">
      <c r="A98" s="6"/>
      <c r="B98" s="6"/>
      <c r="C98" s="6"/>
      <c r="D98" s="6"/>
      <c r="E98" s="94"/>
      <c r="F98" s="59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x14ac:dyDescent="0.25" r="99" customHeight="1" ht="19.5">
      <c r="A99" s="6"/>
      <c r="B99" s="6"/>
      <c r="C99" s="6"/>
      <c r="D99" s="6"/>
      <c r="E99" s="94"/>
      <c r="F99" s="59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x14ac:dyDescent="0.25" r="100" customHeight="1" ht="19.5">
      <c r="A100" s="6"/>
      <c r="B100" s="6"/>
      <c r="C100" s="6"/>
      <c r="D100" s="6"/>
      <c r="E100" s="94"/>
      <c r="F100" s="59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x14ac:dyDescent="0.25" r="101" customHeight="1" ht="19.5">
      <c r="A101" s="6"/>
      <c r="B101" s="6"/>
      <c r="C101" s="6"/>
      <c r="D101" s="6"/>
      <c r="E101" s="8"/>
      <c r="F101" s="341"/>
      <c r="G101" s="8"/>
      <c r="H101" s="8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x14ac:dyDescent="0.25" r="102" customHeight="1" ht="19.5">
      <c r="A102" s="6"/>
      <c r="B102" s="6"/>
      <c r="C102" s="6"/>
      <c r="D102" s="6"/>
      <c r="E102" s="8"/>
      <c r="F102" s="342"/>
      <c r="G102" s="8"/>
      <c r="H102" s="8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x14ac:dyDescent="0.25" r="103" customHeight="1" ht="19.5">
      <c r="A103" s="6"/>
      <c r="B103" s="6"/>
      <c r="C103" s="8"/>
      <c r="D103" s="8"/>
      <c r="E103" s="8"/>
      <c r="F103" s="342"/>
      <c r="G103" s="8"/>
      <c r="H103" s="8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x14ac:dyDescent="0.25" r="104" customHeight="1" ht="19.5">
      <c r="A104" s="6"/>
      <c r="B104" s="6"/>
      <c r="C104" s="6"/>
      <c r="D104" s="6"/>
      <c r="E104" s="8"/>
      <c r="F104" s="342"/>
      <c r="G104" s="8"/>
      <c r="H104" s="8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x14ac:dyDescent="0.25" r="105" customHeight="1" ht="19.5">
      <c r="A105" s="6"/>
      <c r="B105" s="6"/>
      <c r="C105" s="343"/>
      <c r="D105" s="343"/>
      <c r="E105" s="8"/>
      <c r="F105" s="344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x14ac:dyDescent="0.25" r="106" customHeight="1" ht="19.5">
      <c r="A106" s="6"/>
      <c r="B106" s="6"/>
      <c r="C106" s="6"/>
      <c r="D106" s="6"/>
      <c r="E106" s="8"/>
      <c r="F106" s="297"/>
      <c r="G106" s="8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x14ac:dyDescent="0.25" r="107" customHeight="1" ht="19.5">
      <c r="A107" s="6"/>
      <c r="B107" s="6"/>
      <c r="C107" s="6"/>
      <c r="D107" s="6"/>
      <c r="E107" s="94"/>
      <c r="F107" s="59"/>
      <c r="G107" s="8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x14ac:dyDescent="0.25" r="108" customHeight="1" ht="19.5">
      <c r="A108" s="6"/>
      <c r="B108" s="6"/>
      <c r="C108" s="6"/>
      <c r="D108" s="6"/>
      <c r="E108" s="94"/>
      <c r="F108" s="59"/>
      <c r="G108" s="8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x14ac:dyDescent="0.25" r="109" customHeight="1" ht="19.5">
      <c r="A109" s="6"/>
      <c r="B109" s="6"/>
      <c r="C109" s="6"/>
      <c r="D109" s="6"/>
      <c r="E109" s="94"/>
      <c r="F109" s="59"/>
      <c r="G109" s="8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x14ac:dyDescent="0.25" r="110" customHeight="1" ht="19.5">
      <c r="A110" s="6"/>
      <c r="B110" s="6"/>
      <c r="C110" s="6"/>
      <c r="D110" s="6"/>
      <c r="E110" s="94"/>
      <c r="F110" s="59"/>
      <c r="G110" s="8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x14ac:dyDescent="0.25" r="111" customHeight="1" ht="19.5">
      <c r="A111" s="6"/>
      <c r="B111" s="6"/>
      <c r="C111" s="6"/>
      <c r="D111" s="6"/>
      <c r="E111" s="94"/>
      <c r="F111" s="59"/>
      <c r="G111" s="8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x14ac:dyDescent="0.25" r="112" customHeight="1" ht="19.5">
      <c r="A112" s="6"/>
      <c r="B112" s="6"/>
      <c r="C112" s="6"/>
      <c r="D112" s="6"/>
      <c r="E112" s="94"/>
      <c r="F112" s="59"/>
      <c r="G112" s="8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x14ac:dyDescent="0.25" r="113" customHeight="1" ht="19.5">
      <c r="A113" s="6"/>
      <c r="B113" s="6"/>
      <c r="C113" s="6"/>
      <c r="D113" s="6"/>
      <c r="E113" s="94"/>
      <c r="F113" s="59"/>
      <c r="G113" s="8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x14ac:dyDescent="0.25" r="114" customHeight="1" ht="19.5">
      <c r="A114" s="6"/>
      <c r="B114" s="6"/>
      <c r="C114" s="6"/>
      <c r="D114" s="6"/>
      <c r="E114" s="94"/>
      <c r="F114" s="59"/>
      <c r="G114" s="8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x14ac:dyDescent="0.25" r="115" customHeight="1" ht="19.5">
      <c r="A115" s="6"/>
      <c r="B115" s="6"/>
      <c r="C115" s="6"/>
      <c r="D115" s="6"/>
      <c r="E115" s="8"/>
      <c r="F115" s="341"/>
      <c r="G115" s="8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x14ac:dyDescent="0.25" r="116" customHeight="1" ht="19.5">
      <c r="A116" s="6"/>
      <c r="B116" s="6"/>
      <c r="C116" s="6"/>
      <c r="D116" s="6"/>
      <c r="E116" s="343"/>
      <c r="F116" s="344"/>
      <c r="G116" s="8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x14ac:dyDescent="0.25" r="117" customHeight="1" ht="19.5">
      <c r="A117" s="6"/>
      <c r="B117" s="6"/>
      <c r="C117" s="8"/>
      <c r="D117" s="8"/>
      <c r="E117" s="8"/>
      <c r="F117" s="344"/>
      <c r="G117" s="94"/>
      <c r="H117" s="6"/>
      <c r="I117" s="6"/>
      <c r="J117" s="8"/>
      <c r="K117" s="8"/>
      <c r="L117" s="344"/>
      <c r="M117" s="9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x14ac:dyDescent="0.25" r="118" customHeight="1" ht="19.5">
      <c r="A118" s="6"/>
      <c r="B118" s="6"/>
      <c r="C118" s="94"/>
      <c r="D118" s="94"/>
      <c r="E118" s="94"/>
      <c r="F118" s="345"/>
      <c r="G118" s="94"/>
      <c r="H118" s="6"/>
      <c r="I118" s="6"/>
      <c r="J118" s="94"/>
      <c r="K118" s="94"/>
      <c r="L118" s="345"/>
      <c r="M118" s="9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x14ac:dyDescent="0.25" r="119" customHeight="1" ht="19.5">
      <c r="A119" s="6"/>
      <c r="B119" s="6"/>
      <c r="C119" s="94"/>
      <c r="D119" s="94"/>
      <c r="E119" s="94"/>
      <c r="F119" s="345"/>
      <c r="G119" s="94"/>
      <c r="H119" s="6"/>
      <c r="I119" s="6"/>
      <c r="J119" s="94"/>
      <c r="K119" s="94"/>
      <c r="L119" s="345"/>
      <c r="M119" s="9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x14ac:dyDescent="0.25" r="120" customHeight="1" ht="19.5">
      <c r="A120" s="6"/>
      <c r="B120" s="6"/>
      <c r="C120" s="94"/>
      <c r="D120" s="94"/>
      <c r="E120" s="94"/>
      <c r="F120" s="345"/>
      <c r="G120" s="94"/>
      <c r="H120" s="6"/>
      <c r="I120" s="6"/>
      <c r="J120" s="94"/>
      <c r="K120" s="94"/>
      <c r="L120" s="345"/>
      <c r="M120" s="9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x14ac:dyDescent="0.25" r="121" customHeight="1" ht="19.5">
      <c r="A121" s="6"/>
      <c r="B121" s="6"/>
      <c r="C121" s="94"/>
      <c r="D121" s="94"/>
      <c r="E121" s="8"/>
      <c r="F121" s="346"/>
      <c r="G121" s="94"/>
      <c r="H121" s="6"/>
      <c r="I121" s="6"/>
      <c r="J121" s="94"/>
      <c r="K121" s="94"/>
      <c r="L121" s="345"/>
      <c r="M121" s="9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x14ac:dyDescent="0.25" r="122" customHeight="1" ht="19.5">
      <c r="A122" s="6"/>
      <c r="B122" s="6"/>
      <c r="C122" s="94"/>
      <c r="D122" s="94"/>
      <c r="E122" s="94"/>
      <c r="F122" s="345"/>
      <c r="G122" s="94"/>
      <c r="H122" s="6"/>
      <c r="I122" s="6"/>
      <c r="J122" s="94"/>
      <c r="K122" s="94"/>
      <c r="L122" s="345"/>
      <c r="M122" s="9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x14ac:dyDescent="0.25" r="123" customHeight="1" ht="19.5">
      <c r="A123" s="6"/>
      <c r="B123" s="6"/>
      <c r="C123" s="94"/>
      <c r="D123" s="94"/>
      <c r="E123" s="94"/>
      <c r="F123" s="345"/>
      <c r="G123" s="94"/>
      <c r="H123" s="6"/>
      <c r="I123" s="6"/>
      <c r="J123" s="94"/>
      <c r="K123" s="94"/>
      <c r="L123" s="345"/>
      <c r="M123" s="9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x14ac:dyDescent="0.25" r="124" customHeight="1" ht="19.5">
      <c r="A124" s="6"/>
      <c r="B124" s="6"/>
      <c r="C124" s="94"/>
      <c r="D124" s="94"/>
      <c r="E124" s="94"/>
      <c r="F124" s="345"/>
      <c r="G124" s="94"/>
      <c r="H124" s="6"/>
      <c r="I124" s="6"/>
      <c r="J124" s="94"/>
      <c r="K124" s="94"/>
      <c r="L124" s="345"/>
      <c r="M124" s="9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x14ac:dyDescent="0.25" r="125" customHeight="1" ht="19.5">
      <c r="A125" s="6"/>
      <c r="B125" s="6"/>
      <c r="C125" s="94"/>
      <c r="D125" s="94"/>
      <c r="E125" s="8"/>
      <c r="F125" s="346"/>
      <c r="G125" s="8"/>
      <c r="H125" s="6"/>
      <c r="I125" s="6"/>
      <c r="J125" s="94"/>
      <c r="K125" s="94"/>
      <c r="L125" s="345"/>
      <c r="M125" s="9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x14ac:dyDescent="0.25" r="126" customHeight="1" ht="19.5">
      <c r="A126" s="6"/>
      <c r="B126" s="6"/>
      <c r="C126" s="6"/>
      <c r="D126" s="6"/>
      <c r="E126" s="6"/>
      <c r="F126" s="297"/>
      <c r="G126" s="6"/>
      <c r="H126" s="6"/>
      <c r="I126" s="6"/>
      <c r="J126" s="94"/>
      <c r="K126" s="94"/>
      <c r="L126" s="345"/>
      <c r="M126" s="9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x14ac:dyDescent="0.25" r="127" customHeight="1" ht="19.5">
      <c r="A127" s="6"/>
      <c r="B127" s="6"/>
      <c r="C127" s="8"/>
      <c r="D127" s="8"/>
      <c r="E127" s="347"/>
      <c r="F127" s="348"/>
      <c r="G127" s="6"/>
      <c r="H127" s="6"/>
      <c r="I127" s="6"/>
      <c r="J127" s="94"/>
      <c r="K127" s="8"/>
      <c r="L127" s="346"/>
      <c r="M127" s="9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x14ac:dyDescent="0.25" r="128" customHeight="1" ht="19.5">
      <c r="A128" s="6"/>
      <c r="B128" s="6"/>
      <c r="C128" s="6"/>
      <c r="D128" s="6"/>
      <c r="E128" s="6"/>
      <c r="F128" s="59"/>
      <c r="G128" s="6"/>
      <c r="H128" s="6"/>
      <c r="I128" s="6"/>
      <c r="J128" s="94"/>
      <c r="K128" s="94"/>
      <c r="L128" s="345"/>
      <c r="M128" s="9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x14ac:dyDescent="0.25" r="129" customHeight="1" ht="19.5">
      <c r="A129" s="2"/>
      <c r="B129" s="2"/>
      <c r="C129" s="2"/>
      <c r="D129" s="2"/>
      <c r="E129" s="2"/>
      <c r="F129" s="349"/>
      <c r="G129" s="2"/>
      <c r="H129" s="2"/>
      <c r="I129" s="2"/>
      <c r="J129" s="216"/>
      <c r="K129" s="216"/>
      <c r="L129" s="350"/>
      <c r="M129" s="2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x14ac:dyDescent="0.25" r="130" customHeight="1" ht="19.5">
      <c r="A130" s="2"/>
      <c r="B130" s="2"/>
      <c r="C130" s="2"/>
      <c r="D130" s="2"/>
      <c r="E130" s="2"/>
      <c r="F130" s="351"/>
      <c r="G130" s="2"/>
      <c r="H130" s="2"/>
      <c r="I130" s="2"/>
      <c r="J130" s="216"/>
      <c r="K130" s="216"/>
      <c r="L130" s="350"/>
      <c r="M130" s="2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x14ac:dyDescent="0.25" r="131" customHeight="1" ht="19.5">
      <c r="A131" s="2"/>
      <c r="B131" s="2"/>
      <c r="C131" s="2"/>
      <c r="D131" s="2"/>
      <c r="E131" s="2"/>
      <c r="F131" s="349"/>
      <c r="G131" s="2"/>
      <c r="H131" s="2"/>
      <c r="I131" s="2"/>
      <c r="J131" s="216"/>
      <c r="K131" s="204"/>
      <c r="L131" s="352"/>
      <c r="M131" s="20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x14ac:dyDescent="0.25" r="132" customHeight="1" ht="19.5">
      <c r="A132" s="2"/>
      <c r="B132" s="2"/>
      <c r="C132" s="2"/>
      <c r="D132" s="2"/>
      <c r="E132" s="2"/>
      <c r="F132" s="34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x14ac:dyDescent="0.25" r="133" customHeight="1" ht="19.5">
      <c r="A133" s="2"/>
      <c r="B133" s="2"/>
      <c r="C133" s="2"/>
      <c r="D133" s="2"/>
      <c r="E133" s="2"/>
      <c r="F133" s="35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x14ac:dyDescent="0.25" r="134" customHeight="1" ht="19.5">
      <c r="A134" s="2"/>
      <c r="B134" s="2"/>
      <c r="C134" s="2"/>
      <c r="D134" s="2"/>
      <c r="E134" s="2"/>
      <c r="F134" s="34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x14ac:dyDescent="0.25" r="135" customHeight="1" ht="19.5">
      <c r="A135" s="2"/>
      <c r="B135" s="2"/>
      <c r="C135" s="2"/>
      <c r="D135" s="2"/>
      <c r="E135" s="2"/>
      <c r="F135" s="34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x14ac:dyDescent="0.25" r="136" customHeight="1" ht="19.5">
      <c r="A136" s="2"/>
      <c r="B136" s="2"/>
      <c r="C136" s="2"/>
      <c r="D136" s="2"/>
      <c r="E136" s="204"/>
      <c r="F136" s="353"/>
      <c r="G136" s="20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x14ac:dyDescent="0.25" r="137" customHeight="1" ht="19.5">
      <c r="A137" s="2"/>
      <c r="B137" s="2"/>
      <c r="C137" s="2"/>
      <c r="D137" s="2"/>
      <c r="E137" s="204"/>
      <c r="F137" s="354"/>
      <c r="G137" s="20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x14ac:dyDescent="0.25" r="138" customHeight="1" ht="19.5">
      <c r="A138" s="2"/>
      <c r="B138" s="2"/>
      <c r="C138" s="204"/>
      <c r="D138" s="204"/>
      <c r="E138" s="2"/>
      <c r="F138" s="35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x14ac:dyDescent="0.25" r="139" customHeight="1" ht="19.5">
      <c r="A139" s="2"/>
      <c r="B139" s="2"/>
      <c r="C139" s="2"/>
      <c r="D139" s="2"/>
      <c r="E139" s="2"/>
      <c r="F139" s="34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x14ac:dyDescent="0.25" r="140" customHeight="1" ht="19.5">
      <c r="A140" s="2"/>
      <c r="B140" s="2"/>
      <c r="C140" s="2"/>
      <c r="D140" s="2"/>
      <c r="E140" s="2"/>
      <c r="F140" s="34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x14ac:dyDescent="0.25" r="141" customHeight="1" ht="19.5">
      <c r="A141" s="2"/>
      <c r="B141" s="2"/>
      <c r="C141" s="2"/>
      <c r="D141" s="2"/>
      <c r="E141" s="2"/>
      <c r="F141" s="35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x14ac:dyDescent="0.25" r="142" customHeight="1" ht="19.5">
      <c r="A142" s="2"/>
      <c r="B142" s="2"/>
      <c r="C142" s="2"/>
      <c r="D142" s="2"/>
      <c r="E142" s="2"/>
      <c r="F142" s="34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x14ac:dyDescent="0.25" r="143" customHeight="1" ht="19.5">
      <c r="A143" s="2"/>
      <c r="B143" s="2"/>
      <c r="C143" s="2"/>
      <c r="D143" s="2"/>
      <c r="E143" s="2"/>
      <c r="F143" s="34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x14ac:dyDescent="0.25" r="144" customHeight="1" ht="19.5">
      <c r="A144" s="2"/>
      <c r="B144" s="2"/>
      <c r="C144" s="2"/>
      <c r="D144" s="2"/>
      <c r="E144" s="204"/>
      <c r="F144" s="35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x14ac:dyDescent="0.25" r="145" customHeight="1" ht="19.5">
      <c r="A145" s="2"/>
      <c r="B145" s="2"/>
      <c r="C145" s="2"/>
      <c r="D145" s="2"/>
      <c r="E145" s="2"/>
      <c r="F145" s="195"/>
      <c r="G145" s="204"/>
      <c r="H145" s="20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x14ac:dyDescent="0.25" r="146" customHeight="1" ht="19.5">
      <c r="A146" s="2"/>
      <c r="B146" s="2"/>
      <c r="C146" s="2"/>
      <c r="D146" s="2"/>
      <c r="E146" s="2"/>
      <c r="F146" s="195"/>
      <c r="G146" s="218"/>
      <c r="H146" s="20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x14ac:dyDescent="0.25" r="147" customHeight="1" ht="19.5">
      <c r="A147" s="2"/>
      <c r="B147" s="356"/>
      <c r="C147" s="218"/>
      <c r="D147" s="218"/>
      <c r="E147" s="356"/>
      <c r="F147" s="354"/>
      <c r="G147" s="357"/>
      <c r="H147" s="21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x14ac:dyDescent="0.25" r="148" customHeight="1" ht="19.5">
      <c r="A148" s="2"/>
      <c r="B148" s="2"/>
      <c r="C148" s="2"/>
      <c r="D148" s="2"/>
      <c r="E148" s="2"/>
      <c r="F148" s="19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x14ac:dyDescent="0.25" r="149" customHeight="1" ht="19.5">
      <c r="A149" s="2"/>
      <c r="B149" s="2"/>
      <c r="C149" s="2"/>
      <c r="D149" s="2"/>
      <c r="E149" s="2"/>
      <c r="F149" s="19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x14ac:dyDescent="0.25" r="150" customHeight="1" ht="19.5">
      <c r="A150" s="2"/>
      <c r="B150" s="2"/>
      <c r="C150" s="2"/>
      <c r="D150" s="2"/>
      <c r="E150" s="2"/>
      <c r="F150" s="19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x14ac:dyDescent="0.25" r="151" customHeight="1" ht="19.5">
      <c r="A151" s="2"/>
      <c r="B151" s="2"/>
      <c r="C151" s="2"/>
      <c r="D151" s="2"/>
      <c r="E151" s="2"/>
      <c r="F151" s="19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x14ac:dyDescent="0.25" r="152" customHeight="1" ht="19.5">
      <c r="A152" s="2"/>
      <c r="B152" s="2"/>
      <c r="C152" s="2"/>
      <c r="D152" s="2"/>
      <c r="E152" s="2"/>
      <c r="F152" s="19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x14ac:dyDescent="0.25" r="153" customHeight="1" ht="19.5">
      <c r="A153" s="2"/>
      <c r="B153" s="2"/>
      <c r="C153" s="2"/>
      <c r="D153" s="2"/>
      <c r="E153" s="2"/>
      <c r="F153" s="19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x14ac:dyDescent="0.25" r="154" customHeight="1" ht="19.5">
      <c r="A154" s="2"/>
      <c r="B154" s="2"/>
      <c r="C154" s="2"/>
      <c r="D154" s="2"/>
      <c r="E154" s="2"/>
      <c r="F154" s="19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x14ac:dyDescent="0.25" r="155" customHeight="1" ht="19.5">
      <c r="A155" s="2"/>
      <c r="B155" s="2"/>
      <c r="C155" s="2"/>
      <c r="D155" s="2"/>
      <c r="E155" s="2"/>
      <c r="F155" s="19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x14ac:dyDescent="0.25" r="156" customHeight="1" ht="19.5">
      <c r="A156" s="2"/>
      <c r="B156" s="2"/>
      <c r="C156" s="2"/>
      <c r="D156" s="2"/>
      <c r="E156" s="2"/>
      <c r="F156" s="19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x14ac:dyDescent="0.25" r="157" customHeight="1" ht="19.5">
      <c r="A157" s="2"/>
      <c r="B157" s="2"/>
      <c r="C157" s="2"/>
      <c r="D157" s="2"/>
      <c r="E157" s="2"/>
      <c r="F157" s="19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x14ac:dyDescent="0.25" r="158" customHeight="1" ht="19.5">
      <c r="A158" s="2"/>
      <c r="B158" s="2"/>
      <c r="C158" s="2"/>
      <c r="D158" s="2"/>
      <c r="E158" s="2"/>
      <c r="F158" s="19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x14ac:dyDescent="0.25" r="159" customHeight="1" ht="19.5">
      <c r="A159" s="2"/>
      <c r="B159" s="2"/>
      <c r="C159" s="2"/>
      <c r="D159" s="2"/>
      <c r="E159" s="2"/>
      <c r="F159" s="19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x14ac:dyDescent="0.25" r="160" customHeight="1" ht="19.5">
      <c r="A160" s="2"/>
      <c r="B160" s="2"/>
      <c r="C160" s="2"/>
      <c r="D160" s="2"/>
      <c r="E160" s="2"/>
      <c r="F160" s="19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x14ac:dyDescent="0.25" r="161" customHeight="1" ht="19.5">
      <c r="A161" s="2"/>
      <c r="B161" s="2"/>
      <c r="C161" s="2"/>
      <c r="D161" s="2"/>
      <c r="E161" s="2"/>
      <c r="F161" s="19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x14ac:dyDescent="0.25" r="162" customHeight="1" ht="19.5">
      <c r="A162" s="2"/>
      <c r="B162" s="2"/>
      <c r="C162" s="2"/>
      <c r="D162" s="2"/>
      <c r="E162" s="2"/>
      <c r="F162" s="19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x14ac:dyDescent="0.25" r="163" customHeight="1" ht="19.5">
      <c r="A163" s="2"/>
      <c r="B163" s="2"/>
      <c r="C163" s="2"/>
      <c r="D163" s="2"/>
      <c r="E163" s="2"/>
      <c r="F163" s="19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x14ac:dyDescent="0.25" r="164" customHeight="1" ht="19.5">
      <c r="A164" s="2"/>
      <c r="B164" s="2"/>
      <c r="C164" s="2"/>
      <c r="D164" s="2"/>
      <c r="E164" s="2"/>
      <c r="F164" s="19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x14ac:dyDescent="0.25" r="165" customHeight="1" ht="19.5">
      <c r="A165" s="2"/>
      <c r="B165" s="2"/>
      <c r="C165" s="2"/>
      <c r="D165" s="2"/>
      <c r="E165" s="2"/>
      <c r="F165" s="19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x14ac:dyDescent="0.25" r="166" customHeight="1" ht="19.5">
      <c r="A166" s="2"/>
      <c r="B166" s="2"/>
      <c r="C166" s="2"/>
      <c r="D166" s="2"/>
      <c r="E166" s="2"/>
      <c r="F166" s="19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x14ac:dyDescent="0.25" r="167" customHeight="1" ht="19.5">
      <c r="A167" s="2"/>
      <c r="B167" s="2"/>
      <c r="C167" s="2"/>
      <c r="D167" s="2"/>
      <c r="E167" s="2"/>
      <c r="F167" s="19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x14ac:dyDescent="0.25" r="168" customHeight="1" ht="19.5">
      <c r="A168" s="2"/>
      <c r="B168" s="2"/>
      <c r="C168" s="2"/>
      <c r="D168" s="2"/>
      <c r="E168" s="2"/>
      <c r="F168" s="19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x14ac:dyDescent="0.25" r="169" customHeight="1" ht="19.5">
      <c r="A169" s="2"/>
      <c r="B169" s="2"/>
      <c r="C169" s="2"/>
      <c r="D169" s="2"/>
      <c r="E169" s="2"/>
      <c r="F169" s="19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x14ac:dyDescent="0.25" r="170" customHeight="1" ht="19.5">
      <c r="A170" s="2"/>
      <c r="B170" s="2"/>
      <c r="C170" s="2"/>
      <c r="D170" s="2"/>
      <c r="E170" s="2"/>
      <c r="F170" s="19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x14ac:dyDescent="0.25" r="171" customHeight="1" ht="19.5">
      <c r="A171" s="2"/>
      <c r="B171" s="2"/>
      <c r="C171" s="2"/>
      <c r="D171" s="2"/>
      <c r="E171" s="2"/>
      <c r="F171" s="19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x14ac:dyDescent="0.25" r="172" customHeight="1" ht="19.5">
      <c r="A172" s="2"/>
      <c r="B172" s="2"/>
      <c r="C172" s="2"/>
      <c r="D172" s="2"/>
      <c r="E172" s="2"/>
      <c r="F172" s="19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x14ac:dyDescent="0.25" r="173" customHeight="1" ht="19.5">
      <c r="A173" s="2"/>
      <c r="B173" s="2"/>
      <c r="C173" s="2"/>
      <c r="D173" s="2"/>
      <c r="E173" s="2"/>
      <c r="F173" s="19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x14ac:dyDescent="0.25" r="174" customHeight="1" ht="19.5">
      <c r="A174" s="2"/>
      <c r="B174" s="2"/>
      <c r="C174" s="2"/>
      <c r="D174" s="2"/>
      <c r="E174" s="2"/>
      <c r="F174" s="19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x14ac:dyDescent="0.25" r="175" customHeight="1" ht="19.5">
      <c r="A175" s="2"/>
      <c r="B175" s="2"/>
      <c r="C175" s="2"/>
      <c r="D175" s="2"/>
      <c r="E175" s="2"/>
      <c r="F175" s="19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x14ac:dyDescent="0.25" r="176" customHeight="1" ht="19.5">
      <c r="A176" s="2"/>
      <c r="B176" s="2"/>
      <c r="C176" s="2"/>
      <c r="D176" s="2"/>
      <c r="E176" s="2"/>
      <c r="F176" s="19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x14ac:dyDescent="0.25" r="177" customHeight="1" ht="19.5">
      <c r="A177" s="2"/>
      <c r="B177" s="2"/>
      <c r="C177" s="2"/>
      <c r="D177" s="2"/>
      <c r="E177" s="2"/>
      <c r="F177" s="19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x14ac:dyDescent="0.25" r="178" customHeight="1" ht="19.5">
      <c r="A178" s="2"/>
      <c r="B178" s="2"/>
      <c r="C178" s="2"/>
      <c r="D178" s="2"/>
      <c r="E178" s="2"/>
      <c r="F178" s="19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x14ac:dyDescent="0.25" r="179" customHeight="1" ht="19.5">
      <c r="A179" s="2"/>
      <c r="B179" s="2"/>
      <c r="C179" s="2"/>
      <c r="D179" s="2"/>
      <c r="E179" s="2"/>
      <c r="F179" s="19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x14ac:dyDescent="0.25" r="180" customHeight="1" ht="19.5">
      <c r="A180" s="2"/>
      <c r="B180" s="2"/>
      <c r="C180" s="2"/>
      <c r="D180" s="2"/>
      <c r="E180" s="2"/>
      <c r="F180" s="19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x14ac:dyDescent="0.25" r="181" customHeight="1" ht="19.5">
      <c r="A181" s="2"/>
      <c r="B181" s="2"/>
      <c r="C181" s="2"/>
      <c r="D181" s="2"/>
      <c r="E181" s="2"/>
      <c r="F181" s="19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x14ac:dyDescent="0.25" r="182" customHeight="1" ht="19.5">
      <c r="A182" s="2"/>
      <c r="B182" s="2"/>
      <c r="C182" s="2"/>
      <c r="D182" s="2"/>
      <c r="E182" s="2"/>
      <c r="F182" s="19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x14ac:dyDescent="0.25" r="183" customHeight="1" ht="19.5">
      <c r="A183" s="2"/>
      <c r="B183" s="2"/>
      <c r="C183" s="2"/>
      <c r="D183" s="2"/>
      <c r="E183" s="2"/>
      <c r="F183" s="19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x14ac:dyDescent="0.25" r="184" customHeight="1" ht="19.5">
      <c r="A184" s="2"/>
      <c r="B184" s="2"/>
      <c r="C184" s="2"/>
      <c r="D184" s="2"/>
      <c r="E184" s="2"/>
      <c r="F184" s="19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x14ac:dyDescent="0.25" r="185" customHeight="1" ht="19.5">
      <c r="A185" s="2"/>
      <c r="B185" s="2"/>
      <c r="C185" s="2"/>
      <c r="D185" s="2"/>
      <c r="E185" s="2"/>
      <c r="F185" s="19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x14ac:dyDescent="0.25" r="186" customHeight="1" ht="19.5">
      <c r="A186" s="2"/>
      <c r="B186" s="2"/>
      <c r="C186" s="2"/>
      <c r="D186" s="2"/>
      <c r="E186" s="2"/>
      <c r="F186" s="19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x14ac:dyDescent="0.25" r="187" customHeight="1" ht="19.5">
      <c r="A187" s="2"/>
      <c r="B187" s="2"/>
      <c r="C187" s="2"/>
      <c r="D187" s="2"/>
      <c r="E187" s="2"/>
      <c r="F187" s="19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x14ac:dyDescent="0.25" r="188" customHeight="1" ht="19.5">
      <c r="A188" s="2"/>
      <c r="B188" s="2"/>
      <c r="C188" s="2"/>
      <c r="D188" s="2"/>
      <c r="E188" s="2"/>
      <c r="F188" s="19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x14ac:dyDescent="0.25" r="189" customHeight="1" ht="19.5">
      <c r="A189" s="2"/>
      <c r="B189" s="2"/>
      <c r="C189" s="2"/>
      <c r="D189" s="2"/>
      <c r="E189" s="2"/>
      <c r="F189" s="19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x14ac:dyDescent="0.25" r="190" customHeight="1" ht="19.5">
      <c r="A190" s="2"/>
      <c r="B190" s="2"/>
      <c r="C190" s="2"/>
      <c r="D190" s="2"/>
      <c r="E190" s="2"/>
      <c r="F190" s="19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x14ac:dyDescent="0.25" r="191" customHeight="1" ht="19.5">
      <c r="A191" s="2"/>
      <c r="B191" s="2"/>
      <c r="C191" s="2"/>
      <c r="D191" s="2"/>
      <c r="E191" s="2"/>
      <c r="F191" s="19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x14ac:dyDescent="0.25" r="192" customHeight="1" ht="19.5">
      <c r="A192" s="2"/>
      <c r="B192" s="2"/>
      <c r="C192" s="2"/>
      <c r="D192" s="2"/>
      <c r="E192" s="2"/>
      <c r="F192" s="19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x14ac:dyDescent="0.25" r="193" customHeight="1" ht="19.5">
      <c r="A193" s="2"/>
      <c r="B193" s="2"/>
      <c r="C193" s="2"/>
      <c r="D193" s="2"/>
      <c r="E193" s="2"/>
      <c r="F193" s="19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x14ac:dyDescent="0.25" r="194" customHeight="1" ht="19.5">
      <c r="A194" s="2"/>
      <c r="B194" s="2"/>
      <c r="C194" s="2"/>
      <c r="D194" s="2"/>
      <c r="E194" s="2"/>
      <c r="F194" s="19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x14ac:dyDescent="0.25" r="195" customHeight="1" ht="19.5">
      <c r="A195" s="2"/>
      <c r="B195" s="2"/>
      <c r="C195" s="2"/>
      <c r="D195" s="2"/>
      <c r="E195" s="2"/>
      <c r="F195" s="19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x14ac:dyDescent="0.25" r="196" customHeight="1" ht="19.5">
      <c r="A196" s="2"/>
      <c r="B196" s="2"/>
      <c r="C196" s="2"/>
      <c r="D196" s="2"/>
      <c r="E196" s="2"/>
      <c r="F196" s="19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x14ac:dyDescent="0.25" r="197" customHeight="1" ht="19.5">
      <c r="A197" s="2"/>
      <c r="B197" s="2"/>
      <c r="C197" s="2"/>
      <c r="D197" s="2"/>
      <c r="E197" s="2"/>
      <c r="F197" s="19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x14ac:dyDescent="0.25" r="198" customHeight="1" ht="19.5">
      <c r="A198" s="2"/>
      <c r="B198" s="2"/>
      <c r="C198" s="2"/>
      <c r="D198" s="2"/>
      <c r="E198" s="2"/>
      <c r="F198" s="19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x14ac:dyDescent="0.25" r="199" customHeight="1" ht="19.5">
      <c r="A199" s="2"/>
      <c r="B199" s="2"/>
      <c r="C199" s="2"/>
      <c r="D199" s="2"/>
      <c r="E199" s="2"/>
      <c r="F199" s="19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x14ac:dyDescent="0.25" r="200" customHeight="1" ht="19.5">
      <c r="A200" s="2"/>
      <c r="B200" s="2"/>
      <c r="C200" s="2"/>
      <c r="D200" s="2"/>
      <c r="E200" s="2"/>
      <c r="F200" s="19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x14ac:dyDescent="0.25" r="201" customHeight="1" ht="19.5">
      <c r="A201" s="2"/>
      <c r="B201" s="2"/>
      <c r="C201" s="2"/>
      <c r="D201" s="2"/>
      <c r="E201" s="2"/>
      <c r="F201" s="19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x14ac:dyDescent="0.25" r="202" customHeight="1" ht="19.5">
      <c r="A202" s="2"/>
      <c r="B202" s="2"/>
      <c r="C202" s="2"/>
      <c r="D202" s="2"/>
      <c r="E202" s="2"/>
      <c r="F202" s="19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x14ac:dyDescent="0.25" r="203" customHeight="1" ht="19.5">
      <c r="A203" s="2"/>
      <c r="B203" s="2"/>
      <c r="C203" s="2"/>
      <c r="D203" s="2"/>
      <c r="E203" s="2"/>
      <c r="F203" s="19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x14ac:dyDescent="0.25" r="204" customHeight="1" ht="19.5">
      <c r="A204" s="2"/>
      <c r="B204" s="2"/>
      <c r="C204" s="2"/>
      <c r="D204" s="2"/>
      <c r="E204" s="2"/>
      <c r="F204" s="19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x14ac:dyDescent="0.25" r="205" customHeight="1" ht="19.5">
      <c r="A205" s="2"/>
      <c r="B205" s="2"/>
      <c r="C205" s="2"/>
      <c r="D205" s="2"/>
      <c r="E205" s="2"/>
      <c r="F205" s="19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x14ac:dyDescent="0.25" r="206" customHeight="1" ht="19.5">
      <c r="A206" s="2"/>
      <c r="B206" s="2"/>
      <c r="C206" s="2"/>
      <c r="D206" s="2"/>
      <c r="E206" s="2"/>
      <c r="F206" s="19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x14ac:dyDescent="0.25" r="207" customHeight="1" ht="19.5">
      <c r="A207" s="2"/>
      <c r="B207" s="2"/>
      <c r="C207" s="2"/>
      <c r="D207" s="2"/>
      <c r="E207" s="2"/>
      <c r="F207" s="19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x14ac:dyDescent="0.25" r="208" customHeight="1" ht="19.5">
      <c r="A208" s="2"/>
      <c r="B208" s="2"/>
      <c r="C208" s="2"/>
      <c r="D208" s="2"/>
      <c r="E208" s="2"/>
      <c r="F208" s="19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x14ac:dyDescent="0.25" r="209" customHeight="1" ht="19.5">
      <c r="A209" s="2"/>
      <c r="B209" s="2"/>
      <c r="C209" s="2"/>
      <c r="D209" s="2"/>
      <c r="E209" s="2"/>
      <c r="F209" s="19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x14ac:dyDescent="0.25" r="210" customHeight="1" ht="19.5">
      <c r="A210" s="2"/>
      <c r="B210" s="2"/>
      <c r="C210" s="2"/>
      <c r="D210" s="2"/>
      <c r="E210" s="2"/>
      <c r="F210" s="19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x14ac:dyDescent="0.25" r="211" customHeight="1" ht="19.5">
      <c r="A211" s="2"/>
      <c r="B211" s="2"/>
      <c r="C211" s="2"/>
      <c r="D211" s="2"/>
      <c r="E211" s="2"/>
      <c r="F211" s="19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x14ac:dyDescent="0.25" r="212" customHeight="1" ht="19.5">
      <c r="A212" s="2"/>
      <c r="B212" s="2"/>
      <c r="C212" s="2"/>
      <c r="D212" s="2"/>
      <c r="E212" s="2"/>
      <c r="F212" s="19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x14ac:dyDescent="0.25" r="213" customHeight="1" ht="19.5">
      <c r="A213" s="2"/>
      <c r="B213" s="2"/>
      <c r="C213" s="2"/>
      <c r="D213" s="2"/>
      <c r="E213" s="2"/>
      <c r="F213" s="19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x14ac:dyDescent="0.25" r="214" customHeight="1" ht="19.5">
      <c r="A214" s="2"/>
      <c r="B214" s="2"/>
      <c r="C214" s="2"/>
      <c r="D214" s="2"/>
      <c r="E214" s="2"/>
      <c r="F214" s="19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x14ac:dyDescent="0.25" r="215" customHeight="1" ht="19.5">
      <c r="A215" s="2"/>
      <c r="B215" s="2"/>
      <c r="C215" s="2"/>
      <c r="D215" s="2"/>
      <c r="E215" s="2"/>
      <c r="F215" s="19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x14ac:dyDescent="0.25" r="216" customHeight="1" ht="19.5">
      <c r="A216" s="2"/>
      <c r="B216" s="2"/>
      <c r="C216" s="2"/>
      <c r="D216" s="2"/>
      <c r="E216" s="2"/>
      <c r="F216" s="19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x14ac:dyDescent="0.25" r="217" customHeight="1" ht="19.5">
      <c r="A217" s="2"/>
      <c r="B217" s="2"/>
      <c r="C217" s="2"/>
      <c r="D217" s="2"/>
      <c r="E217" s="2"/>
      <c r="F217" s="19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x14ac:dyDescent="0.25" r="218" customHeight="1" ht="19.5">
      <c r="A218" s="2"/>
      <c r="B218" s="2"/>
      <c r="C218" s="2"/>
      <c r="D218" s="2"/>
      <c r="E218" s="2"/>
      <c r="F218" s="19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x14ac:dyDescent="0.25" r="219" customHeight="1" ht="19.5">
      <c r="A219" s="2"/>
      <c r="B219" s="2"/>
      <c r="C219" s="2"/>
      <c r="D219" s="2"/>
      <c r="E219" s="2"/>
      <c r="F219" s="19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x14ac:dyDescent="0.25" r="220" customHeight="1" ht="19.5">
      <c r="A220" s="2"/>
      <c r="B220" s="2"/>
      <c r="C220" s="2"/>
      <c r="D220" s="2"/>
      <c r="E220" s="2"/>
      <c r="F220" s="19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x14ac:dyDescent="0.25" r="221" customHeight="1" ht="19.5">
      <c r="A221" s="2"/>
      <c r="B221" s="2"/>
      <c r="C221" s="2"/>
      <c r="D221" s="2"/>
      <c r="E221" s="2"/>
      <c r="F221" s="19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x14ac:dyDescent="0.25" r="222" customHeight="1" ht="19.5">
      <c r="A222" s="2"/>
      <c r="B222" s="2"/>
      <c r="C222" s="2"/>
      <c r="D222" s="2"/>
      <c r="E222" s="2"/>
      <c r="F222" s="19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x14ac:dyDescent="0.25" r="223" customHeight="1" ht="19.5">
      <c r="A223" s="2"/>
      <c r="B223" s="2"/>
      <c r="C223" s="2"/>
      <c r="D223" s="2"/>
      <c r="E223" s="2"/>
      <c r="F223" s="19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x14ac:dyDescent="0.25" r="224" customHeight="1" ht="19.5">
      <c r="A224" s="2"/>
      <c r="B224" s="2"/>
      <c r="C224" s="2"/>
      <c r="D224" s="2"/>
      <c r="E224" s="2"/>
      <c r="F224" s="19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x14ac:dyDescent="0.25" r="225" customHeight="1" ht="19.5">
      <c r="A225" s="2"/>
      <c r="B225" s="2"/>
      <c r="C225" s="2"/>
      <c r="D225" s="2"/>
      <c r="E225" s="2"/>
      <c r="F225" s="19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x14ac:dyDescent="0.25" r="226" customHeight="1" ht="19.5">
      <c r="A226" s="2"/>
      <c r="B226" s="2"/>
      <c r="C226" s="2"/>
      <c r="D226" s="2"/>
      <c r="E226" s="2"/>
      <c r="F226" s="19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x14ac:dyDescent="0.25" r="227" customHeight="1" ht="19.5">
      <c r="A227" s="2"/>
      <c r="B227" s="2"/>
      <c r="C227" s="2"/>
      <c r="D227" s="2"/>
      <c r="E227" s="2"/>
      <c r="F227" s="19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x14ac:dyDescent="0.25" r="228" customHeight="1" ht="19.5">
      <c r="A228" s="2"/>
      <c r="B228" s="2"/>
      <c r="C228" s="2"/>
      <c r="D228" s="2"/>
      <c r="E228" s="2"/>
      <c r="F228" s="19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x14ac:dyDescent="0.25" r="229" customHeight="1" ht="19.5">
      <c r="A229" s="2"/>
      <c r="B229" s="2"/>
      <c r="C229" s="2"/>
      <c r="D229" s="2"/>
      <c r="E229" s="2"/>
      <c r="F229" s="19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x14ac:dyDescent="0.25" r="230" customHeight="1" ht="19.5">
      <c r="A230" s="2"/>
      <c r="B230" s="2"/>
      <c r="C230" s="2"/>
      <c r="D230" s="2"/>
      <c r="E230" s="2"/>
      <c r="F230" s="19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x14ac:dyDescent="0.25" r="231" customHeight="1" ht="19.5">
      <c r="A231" s="2"/>
      <c r="B231" s="2"/>
      <c r="C231" s="2"/>
      <c r="D231" s="2"/>
      <c r="E231" s="2"/>
      <c r="F231" s="19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x14ac:dyDescent="0.25" r="232" customHeight="1" ht="19.5">
      <c r="A232" s="2"/>
      <c r="B232" s="2"/>
      <c r="C232" s="2"/>
      <c r="D232" s="2"/>
      <c r="E232" s="2"/>
      <c r="F232" s="19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x14ac:dyDescent="0.25" r="233" customHeight="1" ht="19.5">
      <c r="A233" s="2"/>
      <c r="B233" s="2"/>
      <c r="C233" s="2"/>
      <c r="D233" s="2"/>
      <c r="E233" s="2"/>
      <c r="F233" s="19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x14ac:dyDescent="0.25" r="234" customHeight="1" ht="19.5">
      <c r="A234" s="2"/>
      <c r="B234" s="2"/>
      <c r="C234" s="2"/>
      <c r="D234" s="2"/>
      <c r="E234" s="2"/>
      <c r="F234" s="19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x14ac:dyDescent="0.25" r="235" customHeight="1" ht="19.5">
      <c r="A235" s="2"/>
      <c r="B235" s="2"/>
      <c r="C235" s="2"/>
      <c r="D235" s="2"/>
      <c r="E235" s="2"/>
      <c r="F235" s="19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x14ac:dyDescent="0.25" r="236" customHeight="1" ht="19.5">
      <c r="A236" s="2"/>
      <c r="B236" s="2"/>
      <c r="C236" s="2"/>
      <c r="D236" s="2"/>
      <c r="E236" s="2"/>
      <c r="F236" s="19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x14ac:dyDescent="0.25" r="237" customHeight="1" ht="19.5">
      <c r="A237" s="2"/>
      <c r="B237" s="2"/>
      <c r="C237" s="2"/>
      <c r="D237" s="2"/>
      <c r="E237" s="2"/>
      <c r="F237" s="19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x14ac:dyDescent="0.25" r="238" customHeight="1" ht="19.5">
      <c r="A238" s="2"/>
      <c r="B238" s="2"/>
      <c r="C238" s="2"/>
      <c r="D238" s="2"/>
      <c r="E238" s="2"/>
      <c r="F238" s="19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x14ac:dyDescent="0.25" r="239" customHeight="1" ht="19.5">
      <c r="A239" s="2"/>
      <c r="B239" s="2"/>
      <c r="C239" s="2"/>
      <c r="D239" s="2"/>
      <c r="E239" s="2"/>
      <c r="F239" s="19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x14ac:dyDescent="0.25" r="240" customHeight="1" ht="19.5">
      <c r="A240" s="2"/>
      <c r="B240" s="2"/>
      <c r="C240" s="2"/>
      <c r="D240" s="2"/>
      <c r="E240" s="2"/>
      <c r="F240" s="19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x14ac:dyDescent="0.25" r="241" customHeight="1" ht="19.5">
      <c r="A241" s="2"/>
      <c r="B241" s="2"/>
      <c r="C241" s="2"/>
      <c r="D241" s="2"/>
      <c r="E241" s="2"/>
      <c r="F241" s="19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x14ac:dyDescent="0.25" r="242" customHeight="1" ht="19.5">
      <c r="A242" s="2"/>
      <c r="B242" s="2"/>
      <c r="C242" s="2"/>
      <c r="D242" s="2"/>
      <c r="E242" s="2"/>
      <c r="F242" s="19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x14ac:dyDescent="0.25" r="243" customHeight="1" ht="19.5">
      <c r="A243" s="2"/>
      <c r="B243" s="2"/>
      <c r="C243" s="2"/>
      <c r="D243" s="2"/>
      <c r="E243" s="2"/>
      <c r="F243" s="19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x14ac:dyDescent="0.25" r="244" customHeight="1" ht="19.5">
      <c r="A244" s="2"/>
      <c r="B244" s="2"/>
      <c r="C244" s="2"/>
      <c r="D244" s="2"/>
      <c r="E244" s="2"/>
      <c r="F244" s="19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x14ac:dyDescent="0.25" r="245" customHeight="1" ht="19.5">
      <c r="A245" s="2"/>
      <c r="B245" s="2"/>
      <c r="C245" s="2"/>
      <c r="D245" s="2"/>
      <c r="E245" s="2"/>
      <c r="F245" s="19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x14ac:dyDescent="0.25" r="246" customHeight="1" ht="19.5">
      <c r="A246" s="2"/>
      <c r="B246" s="2"/>
      <c r="C246" s="2"/>
      <c r="D246" s="2"/>
      <c r="E246" s="2"/>
      <c r="F246" s="19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x14ac:dyDescent="0.25" r="247" customHeight="1" ht="19.5">
      <c r="A247" s="2"/>
      <c r="B247" s="2"/>
      <c r="C247" s="2"/>
      <c r="D247" s="2"/>
      <c r="E247" s="2"/>
      <c r="F247" s="19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x14ac:dyDescent="0.25" r="248" customHeight="1" ht="19.5">
      <c r="A248" s="2"/>
      <c r="B248" s="2"/>
      <c r="C248" s="2"/>
      <c r="D248" s="2"/>
      <c r="E248" s="2"/>
      <c r="F248" s="19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x14ac:dyDescent="0.25" r="249" customHeight="1" ht="19.5">
      <c r="A249" s="2"/>
      <c r="B249" s="2"/>
      <c r="C249" s="2"/>
      <c r="D249" s="2"/>
      <c r="E249" s="2"/>
      <c r="F249" s="19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x14ac:dyDescent="0.25" r="250" customHeight="1" ht="19.5">
      <c r="A250" s="2"/>
      <c r="B250" s="2"/>
      <c r="C250" s="2"/>
      <c r="D250" s="2"/>
      <c r="E250" s="2"/>
      <c r="F250" s="19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x14ac:dyDescent="0.25" r="251" customHeight="1" ht="19.5">
      <c r="A251" s="2"/>
      <c r="B251" s="2"/>
      <c r="C251" s="2"/>
      <c r="D251" s="2"/>
      <c r="E251" s="2"/>
      <c r="F251" s="19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x14ac:dyDescent="0.25" r="252" customHeight="1" ht="19.5">
      <c r="A252" s="2"/>
      <c r="B252" s="2"/>
      <c r="C252" s="2"/>
      <c r="D252" s="2"/>
      <c r="E252" s="2"/>
      <c r="F252" s="19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x14ac:dyDescent="0.25" r="253" customHeight="1" ht="19.5">
      <c r="A253" s="2"/>
      <c r="B253" s="2"/>
      <c r="C253" s="2"/>
      <c r="D253" s="2"/>
      <c r="E253" s="2"/>
      <c r="F253" s="19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x14ac:dyDescent="0.25" r="254" customHeight="1" ht="19.5">
      <c r="A254" s="2"/>
      <c r="B254" s="2"/>
      <c r="C254" s="2"/>
      <c r="D254" s="2"/>
      <c r="E254" s="2"/>
      <c r="F254" s="19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x14ac:dyDescent="0.25" r="255" customHeight="1" ht="19.5">
      <c r="A255" s="2"/>
      <c r="B255" s="2"/>
      <c r="C255" s="2"/>
      <c r="D255" s="2"/>
      <c r="E255" s="2"/>
      <c r="F255" s="19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x14ac:dyDescent="0.25" r="256" customHeight="1" ht="19.5">
      <c r="A256" s="2"/>
      <c r="B256" s="2"/>
      <c r="C256" s="2"/>
      <c r="D256" s="2"/>
      <c r="E256" s="2"/>
      <c r="F256" s="19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x14ac:dyDescent="0.25" r="257" customHeight="1" ht="19.5">
      <c r="A257" s="2"/>
      <c r="B257" s="2"/>
      <c r="C257" s="2"/>
      <c r="D257" s="2"/>
      <c r="E257" s="2"/>
      <c r="F257" s="19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x14ac:dyDescent="0.25" r="258" customHeight="1" ht="19.5">
      <c r="A258" s="2"/>
      <c r="B258" s="2"/>
      <c r="C258" s="2"/>
      <c r="D258" s="2"/>
      <c r="E258" s="2"/>
      <c r="F258" s="19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x14ac:dyDescent="0.25" r="259" customHeight="1" ht="19.5">
      <c r="A259" s="2"/>
      <c r="B259" s="2"/>
      <c r="C259" s="2"/>
      <c r="D259" s="2"/>
      <c r="E259" s="2"/>
      <c r="F259" s="19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x14ac:dyDescent="0.25" r="260" customHeight="1" ht="19.5">
      <c r="A260" s="2"/>
      <c r="B260" s="2"/>
      <c r="C260" s="2"/>
      <c r="D260" s="2"/>
      <c r="E260" s="2"/>
      <c r="F260" s="19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x14ac:dyDescent="0.25" r="261" customHeight="1" ht="19.5">
      <c r="A261" s="2"/>
      <c r="B261" s="2"/>
      <c r="C261" s="2"/>
      <c r="D261" s="2"/>
      <c r="E261" s="2"/>
      <c r="F261" s="19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x14ac:dyDescent="0.25" r="262" customHeight="1" ht="19.5">
      <c r="A262" s="2"/>
      <c r="B262" s="2"/>
      <c r="C262" s="2"/>
      <c r="D262" s="2"/>
      <c r="E262" s="2"/>
      <c r="F262" s="19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x14ac:dyDescent="0.25" r="263" customHeight="1" ht="19.5">
      <c r="A263" s="2"/>
      <c r="B263" s="2"/>
      <c r="C263" s="2"/>
      <c r="D263" s="2"/>
      <c r="E263" s="2"/>
      <c r="F263" s="19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x14ac:dyDescent="0.25" r="264" customHeight="1" ht="19.5">
      <c r="A264" s="2"/>
      <c r="B264" s="2"/>
      <c r="C264" s="2"/>
      <c r="D264" s="2"/>
      <c r="E264" s="2"/>
      <c r="F264" s="19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x14ac:dyDescent="0.25" r="265" customHeight="1" ht="19.5">
      <c r="A265" s="2"/>
      <c r="B265" s="2"/>
      <c r="C265" s="2"/>
      <c r="D265" s="2"/>
      <c r="E265" s="2"/>
      <c r="F265" s="19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x14ac:dyDescent="0.25" r="266" customHeight="1" ht="19.5">
      <c r="A266" s="2"/>
      <c r="B266" s="2"/>
      <c r="C266" s="2"/>
      <c r="D266" s="2"/>
      <c r="E266" s="2"/>
      <c r="F266" s="19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x14ac:dyDescent="0.25" r="267" customHeight="1" ht="19.5">
      <c r="A267" s="2"/>
      <c r="B267" s="2"/>
      <c r="C267" s="2"/>
      <c r="D267" s="2"/>
      <c r="E267" s="2"/>
      <c r="F267" s="19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x14ac:dyDescent="0.25" r="268" customHeight="1" ht="19.5">
      <c r="A268" s="2"/>
      <c r="B268" s="2"/>
      <c r="C268" s="2"/>
      <c r="D268" s="2"/>
      <c r="E268" s="2"/>
      <c r="F268" s="19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x14ac:dyDescent="0.25" r="269" customHeight="1" ht="19.5">
      <c r="A269" s="2"/>
      <c r="B269" s="2"/>
      <c r="C269" s="2"/>
      <c r="D269" s="2"/>
      <c r="E269" s="2"/>
      <c r="F269" s="19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x14ac:dyDescent="0.25" r="270" customHeight="1" ht="19.5">
      <c r="A270" s="2"/>
      <c r="B270" s="2"/>
      <c r="C270" s="2"/>
      <c r="D270" s="2"/>
      <c r="E270" s="2"/>
      <c r="F270" s="19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x14ac:dyDescent="0.25" r="271" customHeight="1" ht="19.5">
      <c r="A271" s="2"/>
      <c r="B271" s="2"/>
      <c r="C271" s="2"/>
      <c r="D271" s="2"/>
      <c r="E271" s="2"/>
      <c r="F271" s="19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F30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3.2907142857142855" customWidth="1" bestFit="1"/>
    <col min="2" max="2" style="73" width="3.5764285714285715" customWidth="1" bestFit="1"/>
    <col min="3" max="3" style="73" width="24.576428571428572" customWidth="1" bestFit="1"/>
    <col min="4" max="4" style="73" width="14.576428571428572" customWidth="1" bestFit="1"/>
    <col min="5" max="5" style="73" width="19.862142857142857" customWidth="1" bestFit="1"/>
    <col min="6" max="6" style="74" width="19.862142857142857" customWidth="1" bestFit="1"/>
    <col min="7" max="7" style="73" width="14.862142857142858" customWidth="1" bestFit="1"/>
    <col min="8" max="8" style="73" width="3.5764285714285715" customWidth="1" bestFit="1"/>
    <col min="9" max="9" style="73" width="5.433571428571429" customWidth="1" bestFit="1"/>
    <col min="10" max="10" style="73" width="7.576428571428571" customWidth="1" bestFit="1"/>
    <col min="11" max="11" style="73" width="11.43357142857143" customWidth="1" bestFit="1"/>
    <col min="12" max="12" style="73" width="13.576428571428572" customWidth="1" bestFit="1"/>
    <col min="13" max="13" style="73" width="11.43357142857143" customWidth="1" bestFit="1"/>
    <col min="14" max="14" style="73" width="11.43357142857143" customWidth="1" bestFit="1"/>
    <col min="15" max="15" style="73" width="11.43357142857143" customWidth="1" bestFit="1"/>
    <col min="16" max="16" style="73" width="11.43357142857143" customWidth="1" bestFit="1"/>
    <col min="17" max="17" style="73" width="11.43357142857143" customWidth="1" bestFit="1"/>
    <col min="18" max="18" style="73" width="11.43357142857143" customWidth="1" bestFit="1"/>
    <col min="19" max="19" style="73" width="11.43357142857143" customWidth="1" bestFit="1"/>
    <col min="20" max="20" style="73" width="11.43357142857143" customWidth="1" bestFit="1"/>
    <col min="21" max="21" style="73" width="11.43357142857143" customWidth="1" bestFit="1"/>
    <col min="22" max="22" style="73" width="11.43357142857143" customWidth="1" bestFit="1"/>
    <col min="23" max="23" style="73" width="11.43357142857143" customWidth="1" bestFit="1"/>
    <col min="24" max="24" style="73" width="11.43357142857143" customWidth="1" bestFit="1"/>
    <col min="25" max="25" style="73" width="14.147857142857141" customWidth="1" bestFit="1"/>
    <col min="26" max="26" style="73" width="14.147857142857141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  <col min="30" max="30" style="73" width="14.147857142857141" customWidth="1" bestFit="1"/>
    <col min="31" max="31" style="73" width="14.147857142857141" customWidth="1" bestFit="1"/>
    <col min="32" max="32" style="73" width="14.147857142857141" customWidth="1" bestFit="1"/>
    <col min="33" max="33" style="73" width="14.147857142857141" customWidth="1" bestFit="1"/>
    <col min="34" max="34" style="73" width="14.147857142857141" customWidth="1" bestFit="1"/>
    <col min="35" max="35" style="73" width="14.147857142857141" customWidth="1" bestFit="1"/>
    <col min="36" max="36" style="73" width="14.147857142857141" customWidth="1" bestFit="1"/>
    <col min="37" max="37" style="73" width="14.147857142857141" customWidth="1" bestFit="1"/>
    <col min="38" max="38" style="73" width="14.147857142857141" customWidth="1" bestFit="1"/>
    <col min="39" max="39" style="73" width="14.147857142857141" customWidth="1" bestFit="1"/>
    <col min="40" max="40" style="73" width="14.147857142857141" customWidth="1" bestFit="1"/>
    <col min="41" max="41" style="73" width="14.147857142857141" customWidth="1" bestFit="1"/>
    <col min="42" max="42" style="73" width="14.147857142857141" customWidth="1" bestFit="1"/>
    <col min="43" max="43" style="73" width="14.147857142857141" customWidth="1" bestFit="1"/>
    <col min="44" max="44" style="73" width="14.147857142857141" customWidth="1" bestFit="1"/>
    <col min="45" max="45" style="73" width="14.147857142857141" customWidth="1" bestFit="1"/>
    <col min="46" max="46" style="73" width="14.147857142857141" customWidth="1" bestFit="1"/>
    <col min="47" max="47" style="73" width="14.147857142857141" customWidth="1" bestFit="1"/>
    <col min="48" max="48" style="73" width="14.147857142857141" customWidth="1" bestFit="1"/>
    <col min="49" max="49" style="73" width="14.147857142857141" customWidth="1" bestFit="1"/>
    <col min="50" max="50" style="73" width="14.147857142857141" customWidth="1" bestFit="1"/>
    <col min="51" max="51" style="73" width="14.147857142857141" customWidth="1" bestFit="1"/>
    <col min="52" max="52" style="73" width="14.147857142857141" customWidth="1" bestFit="1"/>
    <col min="53" max="53" style="73" width="14.147857142857141" customWidth="1" bestFit="1"/>
    <col min="54" max="54" style="73" width="14.147857142857141" customWidth="1" bestFit="1"/>
    <col min="55" max="55" style="73" width="14.147857142857141" customWidth="1" bestFit="1"/>
    <col min="56" max="56" style="73" width="14.147857142857141" customWidth="1" bestFit="1"/>
    <col min="57" max="57" style="73" width="14.147857142857141" customWidth="1" bestFit="1"/>
    <col min="58" max="58" style="73" width="14.147857142857141" customWidth="1" bestFit="1"/>
    <col min="59" max="59" style="73" width="14.147857142857141" customWidth="1" bestFit="1"/>
    <col min="60" max="60" style="73" width="14.147857142857141" customWidth="1" bestFit="1"/>
    <col min="61" max="61" style="73" width="14.147857142857141" customWidth="1" bestFit="1"/>
    <col min="62" max="62" style="73" width="14.147857142857141" customWidth="1" bestFit="1"/>
    <col min="63" max="63" style="73" width="14.147857142857141" customWidth="1" bestFit="1"/>
    <col min="64" max="64" style="73" width="14.147857142857141" customWidth="1" bestFit="1"/>
    <col min="65" max="65" style="73" width="14.147857142857141" customWidth="1" bestFit="1"/>
    <col min="66" max="66" style="73" width="14.147857142857141" customWidth="1" bestFit="1"/>
    <col min="67" max="67" style="73" width="14.147857142857141" customWidth="1" bestFit="1"/>
    <col min="68" max="68" style="73" width="14.147857142857141" customWidth="1" bestFit="1"/>
    <col min="69" max="69" style="73" width="14.147857142857141" customWidth="1" bestFit="1"/>
    <col min="70" max="70" style="73" width="14.147857142857141" customWidth="1" bestFit="1"/>
    <col min="71" max="71" style="73" width="14.147857142857141" customWidth="1" bestFit="1"/>
    <col min="72" max="72" style="73" width="14.147857142857141" customWidth="1" bestFit="1"/>
    <col min="73" max="73" style="73" width="14.147857142857141" customWidth="1" bestFit="1"/>
    <col min="74" max="74" style="73" width="14.147857142857141" customWidth="1" bestFit="1"/>
    <col min="75" max="75" style="73" width="14.147857142857141" customWidth="1" bestFit="1"/>
    <col min="76" max="76" style="73" width="14.147857142857141" customWidth="1" bestFit="1"/>
    <col min="77" max="77" style="73" width="14.147857142857141" customWidth="1" bestFit="1"/>
    <col min="78" max="78" style="73" width="14.147857142857141" customWidth="1" bestFit="1"/>
    <col min="79" max="79" style="73" width="14.147857142857141" customWidth="1" bestFit="1"/>
    <col min="80" max="80" style="73" width="14.147857142857141" customWidth="1" bestFit="1"/>
    <col min="81" max="81" style="73" width="14.147857142857141" customWidth="1" bestFit="1"/>
    <col min="82" max="82" style="73" width="14.147857142857141" customWidth="1" bestFit="1"/>
    <col min="83" max="83" style="73" width="14.147857142857141" customWidth="1" bestFit="1"/>
    <col min="84" max="84" style="73" width="14.147857142857141" customWidth="1" bestFit="1"/>
    <col min="85" max="85" style="73" width="14.147857142857141" customWidth="1" bestFit="1"/>
    <col min="86" max="86" style="73" width="14.147857142857141" customWidth="1" bestFit="1"/>
    <col min="87" max="87" style="73" width="14.147857142857141" customWidth="1" bestFit="1"/>
    <col min="88" max="88" style="73" width="14.147857142857141" customWidth="1" bestFit="1"/>
    <col min="89" max="89" style="73" width="14.147857142857141" customWidth="1" bestFit="1"/>
    <col min="90" max="90" style="73" width="14.147857142857141" customWidth="1" bestFit="1"/>
    <col min="91" max="91" style="73" width="14.147857142857141" customWidth="1" bestFit="1"/>
    <col min="92" max="92" style="73" width="14.147857142857141" customWidth="1" bestFit="1"/>
    <col min="93" max="93" style="73" width="14.147857142857141" customWidth="1" bestFit="1"/>
    <col min="94" max="94" style="73" width="14.147857142857141" customWidth="1" bestFit="1"/>
    <col min="95" max="95" style="73" width="14.147857142857141" customWidth="1" bestFit="1"/>
    <col min="96" max="96" style="73" width="14.147857142857141" customWidth="1" bestFit="1"/>
    <col min="97" max="97" style="73" width="14.147857142857141" customWidth="1" bestFit="1"/>
    <col min="98" max="98" style="73" width="14.147857142857141" customWidth="1" bestFit="1"/>
    <col min="99" max="99" style="73" width="14.147857142857141" customWidth="1" bestFit="1"/>
    <col min="100" max="100" style="73" width="14.147857142857141" customWidth="1" bestFit="1"/>
    <col min="101" max="101" style="73" width="14.147857142857141" customWidth="1" bestFit="1"/>
    <col min="102" max="102" style="73" width="14.147857142857141" customWidth="1" bestFit="1"/>
    <col min="103" max="103" style="73" width="14.147857142857141" customWidth="1" bestFit="1"/>
    <col min="104" max="104" style="73" width="14.147857142857141" customWidth="1" bestFit="1"/>
    <col min="105" max="105" style="73" width="14.147857142857141" customWidth="1" bestFit="1"/>
    <col min="106" max="106" style="73" width="14.147857142857141" customWidth="1" bestFit="1"/>
    <col min="107" max="107" style="73" width="14.147857142857141" customWidth="1" bestFit="1"/>
    <col min="108" max="108" style="73" width="14.147857142857141" customWidth="1" bestFit="1"/>
    <col min="109" max="109" style="73" width="14.147857142857141" customWidth="1" bestFit="1"/>
    <col min="110" max="110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x14ac:dyDescent="0.25" r="2" customHeight="1" ht="14.4">
      <c r="A2" s="2"/>
      <c r="B2" s="2"/>
      <c r="C2" s="2"/>
      <c r="D2" s="86"/>
      <c r="E2" s="2"/>
      <c r="F2" s="2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x14ac:dyDescent="0.25" r="3" customHeight="1" ht="21">
      <c r="A3" s="2"/>
      <c r="B3" s="2"/>
      <c r="C3" s="77" t="s">
        <v>325</v>
      </c>
      <c r="D3" s="86"/>
      <c r="E3" s="2"/>
      <c r="F3" s="234"/>
      <c r="G3" s="2"/>
      <c r="H3" s="235"/>
      <c r="I3" s="235"/>
      <c r="J3" s="5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x14ac:dyDescent="0.25" r="4" customHeight="1" ht="16.95">
      <c r="A4" s="2"/>
      <c r="B4" s="236"/>
      <c r="C4" s="237"/>
      <c r="D4" s="237"/>
      <c r="E4" s="237"/>
      <c r="F4" s="238"/>
      <c r="G4" s="237"/>
      <c r="H4" s="239"/>
      <c r="I4" s="235"/>
      <c r="J4" s="5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x14ac:dyDescent="0.25" r="5" customHeight="1" ht="16.95">
      <c r="A5" s="2"/>
      <c r="B5" s="240"/>
      <c r="C5" s="241" t="s">
        <v>54</v>
      </c>
      <c r="D5" s="242"/>
      <c r="E5" s="241" t="s">
        <v>326</v>
      </c>
      <c r="F5" s="243" t="s">
        <v>327</v>
      </c>
      <c r="G5" s="244"/>
      <c r="H5" s="245"/>
      <c r="I5" s="23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x14ac:dyDescent="0.25" r="6" customHeight="1" ht="13.949999999999998">
      <c r="A6" s="2"/>
      <c r="B6" s="240"/>
      <c r="C6" s="244" t="s">
        <v>328</v>
      </c>
      <c r="D6" s="246"/>
      <c r="E6" s="247"/>
      <c r="F6" s="248">
        <f>IF(Kertoimet!D58&lt;&gt;"",E6*Kertoimet!D58,E6*Kertoimet!C56)</f>
      </c>
      <c r="G6" s="244"/>
      <c r="H6" s="249"/>
      <c r="I6" s="235"/>
      <c r="J6" s="23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x14ac:dyDescent="0.25" r="7" customHeight="1" ht="15.6">
      <c r="A7" s="2"/>
      <c r="B7" s="240"/>
      <c r="C7" s="244" t="s">
        <v>329</v>
      </c>
      <c r="D7" s="246"/>
      <c r="E7" s="247"/>
      <c r="F7" s="250">
        <f>F6*(E7/100)</f>
      </c>
      <c r="G7" s="244"/>
      <c r="H7" s="249"/>
      <c r="I7" s="235"/>
      <c r="J7" s="23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x14ac:dyDescent="0.25" r="8" customHeight="1" ht="15.6">
      <c r="A8" s="2"/>
      <c r="B8" s="240"/>
      <c r="C8" s="244"/>
      <c r="D8" s="246"/>
      <c r="E8" s="251" t="s">
        <v>330</v>
      </c>
      <c r="F8" s="252">
        <f>F6-(F6*(E7/100))</f>
      </c>
      <c r="G8" s="253" t="s">
        <v>327</v>
      </c>
      <c r="H8" s="249"/>
      <c r="I8" s="235"/>
      <c r="J8" s="23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x14ac:dyDescent="0.25" r="9" customHeight="1" ht="15.6">
      <c r="A9" s="2"/>
      <c r="B9" s="240"/>
      <c r="C9" s="244"/>
      <c r="D9" s="246"/>
      <c r="E9" s="246"/>
      <c r="F9" s="254"/>
      <c r="G9" s="244"/>
      <c r="H9" s="249"/>
      <c r="I9" s="235"/>
      <c r="J9" s="23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x14ac:dyDescent="0.25" r="10" customHeight="1" ht="15.6">
      <c r="A10" s="2"/>
      <c r="B10" s="240"/>
      <c r="C10" s="241" t="s">
        <v>55</v>
      </c>
      <c r="D10" s="242"/>
      <c r="E10" s="241" t="s">
        <v>331</v>
      </c>
      <c r="F10" s="243" t="s">
        <v>327</v>
      </c>
      <c r="G10" s="244"/>
      <c r="H10" s="249"/>
      <c r="I10" s="235"/>
      <c r="J10" s="235"/>
      <c r="K10" s="2"/>
      <c r="L10" s="2"/>
      <c r="M10" s="2"/>
      <c r="N10" s="2"/>
      <c r="O10" s="2"/>
      <c r="P10" s="2"/>
      <c r="Q10" s="2"/>
      <c r="R10" s="25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x14ac:dyDescent="0.25" r="11" customHeight="1" ht="19.5">
      <c r="A11" s="2"/>
      <c r="B11" s="240"/>
      <c r="C11" s="244" t="s">
        <v>332</v>
      </c>
      <c r="D11" s="246"/>
      <c r="E11" s="256"/>
      <c r="F11" s="248">
        <f>E11*Kertoimet!C64</f>
      </c>
      <c r="G11" s="244"/>
      <c r="H11" s="257"/>
      <c r="I11" s="235"/>
      <c r="J11" s="23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</row>
    <row x14ac:dyDescent="0.25" r="12" customHeight="1" ht="13.949999999999998">
      <c r="A12" s="2"/>
      <c r="B12" s="240"/>
      <c r="C12" s="244" t="s">
        <v>333</v>
      </c>
      <c r="D12" s="246"/>
      <c r="E12" s="258"/>
      <c r="F12" s="259">
        <f>IF(Kertoimet!D63&lt;&gt;"",Kertoimet!D63*E12,E12*Kertoimet!C61)</f>
      </c>
      <c r="G12" s="244"/>
      <c r="H12" s="257"/>
      <c r="I12" s="235"/>
      <c r="J12" s="23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x14ac:dyDescent="0.25" r="13" customHeight="1" ht="13.949999999999998">
      <c r="A13" s="2"/>
      <c r="B13" s="240"/>
      <c r="C13" s="244" t="s">
        <v>334</v>
      </c>
      <c r="D13" s="244"/>
      <c r="E13" s="247"/>
      <c r="F13" s="259">
        <f>F12*(E13/100)</f>
      </c>
      <c r="G13" s="244"/>
      <c r="H13" s="257"/>
      <c r="I13" s="23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x14ac:dyDescent="0.25" r="14" customHeight="1" ht="19.5">
      <c r="A14" s="2"/>
      <c r="B14" s="240"/>
      <c r="C14" s="244"/>
      <c r="D14" s="244"/>
      <c r="E14" s="251" t="s">
        <v>330</v>
      </c>
      <c r="F14" s="252">
        <f>F12-(F12*(E13/100))+F11</f>
      </c>
      <c r="G14" s="253" t="s">
        <v>327</v>
      </c>
      <c r="H14" s="260"/>
      <c r="I14" s="235"/>
      <c r="J14" s="23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x14ac:dyDescent="0.25" r="15" customHeight="1" ht="16.95">
      <c r="A15" s="2"/>
      <c r="B15" s="261"/>
      <c r="C15" s="241"/>
      <c r="D15" s="241"/>
      <c r="E15" s="241"/>
      <c r="F15" s="262" t="s">
        <v>35</v>
      </c>
      <c r="G15" s="241"/>
      <c r="H15" s="249"/>
      <c r="I15" s="235"/>
      <c r="J15" s="235"/>
      <c r="K15" s="86"/>
      <c r="L15" s="86"/>
      <c r="M15" s="86"/>
      <c r="N15" s="2"/>
      <c r="O15" s="2"/>
      <c r="P15" s="2"/>
      <c r="Q15" s="2"/>
      <c r="R15" s="26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x14ac:dyDescent="0.25" r="16" customHeight="1" ht="19.5">
      <c r="A16" s="2"/>
      <c r="B16" s="240"/>
      <c r="C16" s="241" t="s">
        <v>56</v>
      </c>
      <c r="D16" s="242"/>
      <c r="E16" s="241" t="s">
        <v>335</v>
      </c>
      <c r="F16" s="243" t="s">
        <v>327</v>
      </c>
      <c r="G16" s="246"/>
      <c r="H16" s="257"/>
      <c r="I16" s="235"/>
      <c r="J16" s="235" t="s">
        <v>35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x14ac:dyDescent="0.25" r="17" customHeight="1" ht="19.5">
      <c r="A17" s="2"/>
      <c r="B17" s="240"/>
      <c r="C17" s="244" t="s">
        <v>336</v>
      </c>
      <c r="D17" s="246"/>
      <c r="E17" s="256"/>
      <c r="F17" s="250">
        <f>IF(Kertoimet!D69&lt;&gt;"",E17*Kertoimet!D69,E17*Kertoimet!C67)</f>
      </c>
      <c r="G17" s="253"/>
      <c r="H17" s="257"/>
      <c r="I17" s="235"/>
      <c r="J17" s="235"/>
      <c r="K17" s="2"/>
      <c r="L17" s="2"/>
      <c r="M17" s="2"/>
      <c r="N17" s="2"/>
      <c r="O17" s="2"/>
      <c r="P17" s="2"/>
      <c r="Q17" s="2"/>
      <c r="R17" s="26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x14ac:dyDescent="0.25" r="18" customHeight="1" ht="19.5">
      <c r="A18" s="2"/>
      <c r="B18" s="240"/>
      <c r="C18" s="244" t="s">
        <v>162</v>
      </c>
      <c r="D18" s="246"/>
      <c r="E18" s="247"/>
      <c r="F18" s="264">
        <f>E18*Kertoimet!C70</f>
      </c>
      <c r="G18" s="246"/>
      <c r="H18" s="257"/>
      <c r="I18" s="235"/>
      <c r="J18" s="23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x14ac:dyDescent="0.25" r="19" customHeight="1" ht="19.5">
      <c r="A19" s="2"/>
      <c r="B19" s="240"/>
      <c r="C19" s="244" t="s">
        <v>35</v>
      </c>
      <c r="D19" s="246"/>
      <c r="E19" s="251" t="s">
        <v>330</v>
      </c>
      <c r="F19" s="265">
        <f>SUM(F17:F18)</f>
      </c>
      <c r="G19" s="253" t="s">
        <v>327</v>
      </c>
      <c r="H19" s="260"/>
      <c r="I19" s="235"/>
      <c r="J19" s="235" t="s">
        <v>35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x14ac:dyDescent="0.25" r="20" customHeight="1" ht="15">
      <c r="A20" s="2"/>
      <c r="B20" s="261"/>
      <c r="C20" s="241"/>
      <c r="D20" s="241"/>
      <c r="E20" s="241"/>
      <c r="F20" s="266"/>
      <c r="G20" s="242"/>
      <c r="H20" s="249"/>
      <c r="I20" s="267"/>
      <c r="J20" s="267" t="s">
        <v>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x14ac:dyDescent="0.25" r="21" customHeight="1" ht="15">
      <c r="A21" s="2"/>
      <c r="B21" s="261"/>
      <c r="C21" s="241" t="s">
        <v>163</v>
      </c>
      <c r="D21" s="242"/>
      <c r="E21" s="242"/>
      <c r="F21" s="266"/>
      <c r="G21" s="242"/>
      <c r="H21" s="249"/>
      <c r="I21" s="267"/>
      <c r="J21" s="267"/>
      <c r="K21" s="2"/>
      <c r="L21" s="2"/>
      <c r="M21" s="2"/>
      <c r="N21" s="8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x14ac:dyDescent="0.25" r="22" customHeight="1" ht="16.95">
      <c r="A22" s="2"/>
      <c r="B22" s="261"/>
      <c r="C22" s="244" t="s">
        <v>337</v>
      </c>
      <c r="D22" s="246"/>
      <c r="E22" s="268" t="s">
        <v>165</v>
      </c>
      <c r="F22" s="269"/>
      <c r="G22" s="244"/>
      <c r="H22" s="249"/>
      <c r="I22" s="267"/>
      <c r="J22" s="2"/>
      <c r="K22" s="267"/>
      <c r="L22" s="2"/>
      <c r="M22" s="2"/>
      <c r="N22" s="8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x14ac:dyDescent="0.25" r="23" customHeight="1" ht="16.95">
      <c r="A23" s="2"/>
      <c r="B23" s="261"/>
      <c r="C23" s="244"/>
      <c r="D23" s="246"/>
      <c r="E23" s="270"/>
      <c r="F23" s="269"/>
      <c r="G23" s="244"/>
      <c r="H23" s="249"/>
      <c r="I23" s="267"/>
      <c r="J23" s="2"/>
      <c r="K23" s="267"/>
      <c r="L23" s="2"/>
      <c r="M23" s="2"/>
      <c r="N23" s="8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x14ac:dyDescent="0.25" r="24" customHeight="1" ht="19.5">
      <c r="A24" s="2"/>
      <c r="B24" s="240"/>
      <c r="C24" s="244"/>
      <c r="D24" s="244"/>
      <c r="E24" s="253" t="s">
        <v>338</v>
      </c>
      <c r="F24" s="243" t="s">
        <v>327</v>
      </c>
      <c r="G24" s="241"/>
      <c r="H24" s="257"/>
      <c r="I24" s="235"/>
      <c r="J24" s="23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x14ac:dyDescent="0.25" r="25" customHeight="1" ht="19.5">
      <c r="A25" s="2"/>
      <c r="B25" s="240"/>
      <c r="C25" s="244"/>
      <c r="D25" s="244"/>
      <c r="E25" s="247"/>
      <c r="F25" s="250">
        <f>IF(Kertoimet!D58&lt;&gt;"",Nykytila!G26*Kertoimet!C76*VLOOKUP(Infra!E22,Kertoimet!B73:C74,2,FALSE)*E25*(Kertoimet!C58/1000),Nykytila!G26*Kertoimet!C76*VLOOKUP(Infra!E22,Kertoimet!B73:C74,2,FALSE)*E25*(Kertoimet!C56/1000))</f>
      </c>
      <c r="G25" s="241"/>
      <c r="H25" s="257"/>
      <c r="I25" s="235"/>
      <c r="J25" s="2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x14ac:dyDescent="0.25" r="26" customHeight="1" ht="19.5">
      <c r="A26" s="2"/>
      <c r="B26" s="240"/>
      <c r="C26" s="244"/>
      <c r="D26" s="244"/>
      <c r="E26" s="251" t="s">
        <v>330</v>
      </c>
      <c r="F26" s="271">
        <f>F25-(F25*(E7/100))</f>
      </c>
      <c r="G26" s="253" t="s">
        <v>4</v>
      </c>
      <c r="H26" s="257"/>
      <c r="I26" s="86"/>
      <c r="J26" s="2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x14ac:dyDescent="0.25" r="27" customHeight="1" ht="19.5">
      <c r="A27" s="2"/>
      <c r="B27" s="240"/>
      <c r="C27" s="244"/>
      <c r="D27" s="272"/>
      <c r="E27" s="272"/>
      <c r="F27" s="273"/>
      <c r="G27" s="244"/>
      <c r="H27" s="260"/>
      <c r="I27" s="235"/>
      <c r="J27" s="235"/>
      <c r="K27" s="2"/>
      <c r="L27" s="274"/>
      <c r="M27" s="27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x14ac:dyDescent="0.25" r="28" customHeight="1" ht="13.199999999999998">
      <c r="A28" s="2"/>
      <c r="B28" s="261"/>
      <c r="C28" s="241" t="s">
        <v>14</v>
      </c>
      <c r="D28" s="242"/>
      <c r="E28" s="241" t="s">
        <v>339</v>
      </c>
      <c r="F28" s="269" t="s">
        <v>340</v>
      </c>
      <c r="G28" s="242"/>
      <c r="H28" s="249"/>
      <c r="I28" s="235"/>
      <c r="J28" s="235"/>
      <c r="K28" s="274"/>
      <c r="L28" s="274"/>
      <c r="M28" s="27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x14ac:dyDescent="0.25" r="29" customHeight="1" ht="19.5">
      <c r="A29" s="2"/>
      <c r="B29" s="240"/>
      <c r="C29" s="246" t="s">
        <v>67</v>
      </c>
      <c r="D29" s="246"/>
      <c r="E29" s="247"/>
      <c r="F29" s="250">
        <f>E29*Kertoimet!C86</f>
      </c>
      <c r="G29" s="253" t="s">
        <v>327</v>
      </c>
      <c r="H29" s="257"/>
      <c r="I29" s="235"/>
      <c r="J29" s="235"/>
      <c r="K29" s="274"/>
      <c r="L29" s="274"/>
      <c r="M29" s="27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x14ac:dyDescent="0.25" r="30" customHeight="1" ht="19.5">
      <c r="A30" s="2"/>
      <c r="B30" s="240"/>
      <c r="C30" s="246" t="s">
        <v>68</v>
      </c>
      <c r="D30" s="246"/>
      <c r="E30" s="247"/>
      <c r="F30" s="250">
        <f>E30*Kertoimet!C87</f>
      </c>
      <c r="G30" s="246"/>
      <c r="H30" s="257"/>
      <c r="I30" s="235"/>
      <c r="J30" s="235"/>
      <c r="K30" s="274"/>
      <c r="L30" s="274"/>
      <c r="M30" s="27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x14ac:dyDescent="0.25" r="31" customHeight="1" ht="19.5">
      <c r="A31" s="2"/>
      <c r="B31" s="240"/>
      <c r="C31" s="246" t="s">
        <v>33</v>
      </c>
      <c r="D31" s="246"/>
      <c r="E31" s="247"/>
      <c r="F31" s="250">
        <f>E31*Kertoimet!C88</f>
      </c>
      <c r="G31" s="246"/>
      <c r="H31" s="257"/>
      <c r="I31" s="235"/>
      <c r="J31" s="235"/>
      <c r="K31" s="274"/>
      <c r="L31" s="274"/>
      <c r="M31" s="27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x14ac:dyDescent="0.25" r="32" customHeight="1" ht="19.5">
      <c r="A32" s="2"/>
      <c r="B32" s="240"/>
      <c r="C32" s="246" t="s">
        <v>69</v>
      </c>
      <c r="D32" s="246"/>
      <c r="E32" s="247"/>
      <c r="F32" s="250">
        <f>E32*Kertoimet!C89</f>
      </c>
      <c r="G32" s="246"/>
      <c r="H32" s="257"/>
      <c r="I32" s="235"/>
      <c r="J32" s="235"/>
      <c r="K32" s="274"/>
      <c r="L32" s="274"/>
      <c r="M32" s="27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x14ac:dyDescent="0.25" r="33" customHeight="1" ht="19.5">
      <c r="A33" s="2"/>
      <c r="B33" s="240"/>
      <c r="C33" s="246" t="s">
        <v>70</v>
      </c>
      <c r="D33" s="246"/>
      <c r="E33" s="247"/>
      <c r="F33" s="250">
        <f>E33*Kertoimet!C90</f>
      </c>
      <c r="G33" s="246"/>
      <c r="H33" s="257"/>
      <c r="I33" s="235"/>
      <c r="J33" s="235"/>
      <c r="K33" s="274"/>
      <c r="L33" s="274"/>
      <c r="M33" s="27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x14ac:dyDescent="0.25" r="34" customHeight="1" ht="19.5">
      <c r="A34" s="2"/>
      <c r="B34" s="240"/>
      <c r="C34" s="246" t="s">
        <v>71</v>
      </c>
      <c r="D34" s="246"/>
      <c r="E34" s="247"/>
      <c r="F34" s="250">
        <f>E34*Kertoimet!C91</f>
      </c>
      <c r="G34" s="246"/>
      <c r="H34" s="257"/>
      <c r="I34" s="235"/>
      <c r="J34" s="235" t="s">
        <v>35</v>
      </c>
      <c r="K34" s="274"/>
      <c r="L34" s="274"/>
      <c r="M34" s="27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x14ac:dyDescent="0.25" r="35" customHeight="1" ht="19.5">
      <c r="A35" s="2"/>
      <c r="B35" s="240"/>
      <c r="C35" s="246" t="s">
        <v>72</v>
      </c>
      <c r="D35" s="246"/>
      <c r="E35" s="247"/>
      <c r="F35" s="250">
        <f>E35*Kertoimet!C92</f>
      </c>
      <c r="G35" s="246"/>
      <c r="H35" s="257"/>
      <c r="I35" s="235"/>
      <c r="J35" s="235"/>
      <c r="K35" s="274"/>
      <c r="L35" s="274"/>
      <c r="M35" s="27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x14ac:dyDescent="0.25" r="36" customHeight="1" ht="19.5">
      <c r="A36" s="2"/>
      <c r="B36" s="240"/>
      <c r="C36" s="246" t="s">
        <v>73</v>
      </c>
      <c r="D36" s="246"/>
      <c r="E36" s="247"/>
      <c r="F36" s="250">
        <f>E36*Kertoimet!C93</f>
      </c>
      <c r="G36" s="246"/>
      <c r="H36" s="257"/>
      <c r="I36" s="235"/>
      <c r="J36" s="235"/>
      <c r="K36" s="274"/>
      <c r="L36" s="274"/>
      <c r="M36" s="27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x14ac:dyDescent="0.25" r="37" customHeight="1" ht="19.5">
      <c r="A37" s="2"/>
      <c r="B37" s="240"/>
      <c r="C37" s="246" t="s">
        <v>74</v>
      </c>
      <c r="D37" s="246"/>
      <c r="E37" s="247"/>
      <c r="F37" s="250">
        <f>E37*Kertoimet!C94</f>
      </c>
      <c r="G37" s="246"/>
      <c r="H37" s="257"/>
      <c r="I37" s="235"/>
      <c r="J37" s="235"/>
      <c r="K37" s="274"/>
      <c r="L37" s="274"/>
      <c r="M37" s="27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x14ac:dyDescent="0.25" r="38" customHeight="1" ht="19.5">
      <c r="A38" s="2"/>
      <c r="B38" s="240"/>
      <c r="C38" s="246" t="s">
        <v>75</v>
      </c>
      <c r="D38" s="246"/>
      <c r="E38" s="247"/>
      <c r="F38" s="250">
        <f>E38*Kertoimet!C95</f>
      </c>
      <c r="G38" s="246"/>
      <c r="H38" s="257"/>
      <c r="I38" s="235"/>
      <c r="J38" s="235"/>
      <c r="K38" s="274"/>
      <c r="L38" s="274"/>
      <c r="M38" s="27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x14ac:dyDescent="0.25" r="39" customHeight="1" ht="19.5">
      <c r="A39" s="2"/>
      <c r="B39" s="240"/>
      <c r="C39" s="244"/>
      <c r="D39" s="253"/>
      <c r="E39" s="251" t="s">
        <v>330</v>
      </c>
      <c r="F39" s="265">
        <f>SUM(F29:F38)</f>
      </c>
      <c r="G39" s="253" t="s">
        <v>327</v>
      </c>
      <c r="H39" s="257"/>
      <c r="I39" s="235"/>
      <c r="J39" s="235"/>
      <c r="K39" s="274"/>
      <c r="L39" s="274"/>
      <c r="M39" s="27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x14ac:dyDescent="0.25" r="40" customHeight="1" ht="19.5">
      <c r="A40" s="2"/>
      <c r="B40" s="240"/>
      <c r="C40" s="244"/>
      <c r="D40" s="272"/>
      <c r="E40" s="272"/>
      <c r="F40" s="273"/>
      <c r="G40" s="272"/>
      <c r="H40" s="260"/>
      <c r="I40" s="235"/>
      <c r="J40" s="235"/>
      <c r="K40" s="274"/>
      <c r="L40" s="274"/>
      <c r="M40" s="27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x14ac:dyDescent="0.25" r="41" customHeight="1" ht="13.199999999999998">
      <c r="A41" s="2"/>
      <c r="B41" s="261"/>
      <c r="C41" s="241" t="s">
        <v>15</v>
      </c>
      <c r="D41" s="242"/>
      <c r="E41" s="241"/>
      <c r="F41" s="275"/>
      <c r="G41" s="242"/>
      <c r="H41" s="249"/>
      <c r="I41" s="235"/>
      <c r="J41" s="235"/>
      <c r="K41" s="274"/>
      <c r="L41" s="274"/>
      <c r="M41" s="27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x14ac:dyDescent="0.25" r="42" customHeight="1" ht="14.4">
      <c r="A42" s="2"/>
      <c r="B42" s="261"/>
      <c r="C42" s="241" t="s">
        <v>59</v>
      </c>
      <c r="D42" s="242"/>
      <c r="E42" s="241" t="s">
        <v>341</v>
      </c>
      <c r="F42" s="243" t="s">
        <v>327</v>
      </c>
      <c r="G42" s="242"/>
      <c r="H42" s="249"/>
      <c r="I42" s="235"/>
      <c r="J42" s="235"/>
      <c r="K42" s="274"/>
      <c r="L42" s="274"/>
      <c r="M42" s="27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x14ac:dyDescent="0.25" r="43" customHeight="1" ht="19.5">
      <c r="A43" s="2"/>
      <c r="B43" s="240"/>
      <c r="C43" s="246" t="s">
        <v>342</v>
      </c>
      <c r="D43" s="246"/>
      <c r="E43" s="247"/>
      <c r="F43" s="250">
        <f>E43*Kertoimet!C100</f>
      </c>
      <c r="G43" s="246"/>
      <c r="H43" s="257"/>
      <c r="I43" s="235"/>
      <c r="J43" s="235"/>
      <c r="K43" s="274"/>
      <c r="L43" s="274"/>
      <c r="M43" s="27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x14ac:dyDescent="0.25" r="44" customHeight="1" ht="19.5">
      <c r="A44" s="2"/>
      <c r="B44" s="240"/>
      <c r="C44" s="246" t="s">
        <v>343</v>
      </c>
      <c r="D44" s="246"/>
      <c r="E44" s="247"/>
      <c r="F44" s="250">
        <f>E44*Kertoimet!C101</f>
      </c>
      <c r="G44" s="246"/>
      <c r="H44" s="257"/>
      <c r="I44" s="235"/>
      <c r="J44" s="235"/>
      <c r="K44" s="274"/>
      <c r="L44" s="274"/>
      <c r="M44" s="27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x14ac:dyDescent="0.25" r="45" customHeight="1" ht="19.5">
      <c r="A45" s="2"/>
      <c r="B45" s="240"/>
      <c r="C45" s="246" t="s">
        <v>344</v>
      </c>
      <c r="D45" s="246"/>
      <c r="E45" s="247"/>
      <c r="F45" s="250">
        <f>E45*Kertoimet!C102</f>
      </c>
      <c r="G45" s="246"/>
      <c r="H45" s="257"/>
      <c r="I45" s="235"/>
      <c r="J45" s="235"/>
      <c r="K45" s="274"/>
      <c r="L45" s="274"/>
      <c r="M45" s="27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x14ac:dyDescent="0.25" r="46" customHeight="1" ht="19.5">
      <c r="A46" s="2"/>
      <c r="B46" s="240"/>
      <c r="C46" s="246" t="s">
        <v>186</v>
      </c>
      <c r="D46" s="246"/>
      <c r="E46" s="256"/>
      <c r="F46" s="248">
        <f>E46*Kertoimet!C103</f>
      </c>
      <c r="G46" s="246"/>
      <c r="H46" s="257"/>
      <c r="I46" s="235"/>
      <c r="J46" s="235"/>
      <c r="K46" s="274"/>
      <c r="L46" s="274"/>
      <c r="M46" s="27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x14ac:dyDescent="0.25" r="47" customHeight="1" ht="19.5">
      <c r="A47" s="2"/>
      <c r="B47" s="240"/>
      <c r="C47" s="246" t="s">
        <v>187</v>
      </c>
      <c r="D47" s="246"/>
      <c r="E47" s="247"/>
      <c r="F47" s="250">
        <f>E47*Kertoimet!C104</f>
      </c>
      <c r="G47" s="246"/>
      <c r="H47" s="257"/>
      <c r="I47" s="235"/>
      <c r="J47" s="235"/>
      <c r="K47" s="274"/>
      <c r="L47" s="274"/>
      <c r="M47" s="27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x14ac:dyDescent="0.25" r="48" customHeight="1" ht="19.5">
      <c r="A48" s="2"/>
      <c r="B48" s="240"/>
      <c r="C48" s="244" t="s">
        <v>189</v>
      </c>
      <c r="D48" s="246"/>
      <c r="E48" s="247"/>
      <c r="F48" s="250">
        <f>E48*Kertoimet!C105</f>
      </c>
      <c r="G48" s="246"/>
      <c r="H48" s="257"/>
      <c r="I48" s="235"/>
      <c r="J48" s="235"/>
      <c r="K48" s="274"/>
      <c r="L48" s="274"/>
      <c r="M48" s="27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x14ac:dyDescent="0.25" r="49" customHeight="1" ht="19.5">
      <c r="A49" s="2"/>
      <c r="B49" s="240"/>
      <c r="C49" s="244" t="s">
        <v>190</v>
      </c>
      <c r="D49" s="246"/>
      <c r="E49" s="276"/>
      <c r="F49" s="277">
        <f>E49*Kertoimet!C106</f>
      </c>
      <c r="G49" s="246"/>
      <c r="H49" s="257"/>
      <c r="I49" s="235"/>
      <c r="J49" s="235"/>
      <c r="K49" s="274"/>
      <c r="L49" s="274"/>
      <c r="M49" s="27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x14ac:dyDescent="0.25" r="50" customHeight="1" ht="19.5">
      <c r="A50" s="2"/>
      <c r="B50" s="240"/>
      <c r="C50" s="253" t="s">
        <v>60</v>
      </c>
      <c r="D50" s="246"/>
      <c r="E50" s="278"/>
      <c r="F50" s="279"/>
      <c r="G50" s="246"/>
      <c r="H50" s="257"/>
      <c r="I50" s="235"/>
      <c r="J50" s="235"/>
      <c r="K50" s="274"/>
      <c r="L50" s="274"/>
      <c r="M50" s="27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x14ac:dyDescent="0.25" r="51" customHeight="1" ht="19.5">
      <c r="A51" s="2"/>
      <c r="B51" s="240"/>
      <c r="C51" s="244" t="s">
        <v>345</v>
      </c>
      <c r="D51" s="246"/>
      <c r="E51" s="247"/>
      <c r="F51" s="250">
        <f>E51*Kertoimet!C108</f>
      </c>
      <c r="G51" s="246"/>
      <c r="H51" s="257"/>
      <c r="I51" s="235"/>
      <c r="J51" s="235"/>
      <c r="K51" s="274"/>
      <c r="L51" s="2"/>
      <c r="M51" s="27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x14ac:dyDescent="0.25" r="52" customHeight="1" ht="19.5">
      <c r="A52" s="2"/>
      <c r="B52" s="240"/>
      <c r="C52" s="244" t="s">
        <v>192</v>
      </c>
      <c r="D52" s="246"/>
      <c r="E52" s="247"/>
      <c r="F52" s="250">
        <f>E52*Kertoimet!C109</f>
      </c>
      <c r="G52" s="246"/>
      <c r="H52" s="257"/>
      <c r="I52" s="235"/>
      <c r="J52" s="235"/>
      <c r="K52" s="274"/>
      <c r="L52" s="274"/>
      <c r="M52" s="27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x14ac:dyDescent="0.25" r="53" customHeight="1" ht="19.5">
      <c r="A53" s="2"/>
      <c r="B53" s="240"/>
      <c r="C53" s="244" t="s">
        <v>193</v>
      </c>
      <c r="D53" s="246"/>
      <c r="E53" s="247"/>
      <c r="F53" s="250">
        <f>E53*Kertoimet!C110</f>
      </c>
      <c r="G53" s="246"/>
      <c r="H53" s="257"/>
      <c r="I53" s="235"/>
      <c r="J53" s="235"/>
      <c r="K53" s="274"/>
      <c r="L53" s="274"/>
      <c r="M53" s="27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x14ac:dyDescent="0.25" r="54" customHeight="1" ht="19.5">
      <c r="A54" s="2"/>
      <c r="B54" s="240"/>
      <c r="C54" s="244" t="s">
        <v>194</v>
      </c>
      <c r="D54" s="246"/>
      <c r="E54" s="256"/>
      <c r="F54" s="248">
        <f>E54*Kertoimet!C111</f>
      </c>
      <c r="G54" s="246"/>
      <c r="H54" s="257"/>
      <c r="I54" s="235"/>
      <c r="J54" s="235"/>
      <c r="K54" s="274"/>
      <c r="L54" s="274"/>
      <c r="M54" s="27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x14ac:dyDescent="0.25" r="55" customHeight="1" ht="19.5">
      <c r="A55" s="2"/>
      <c r="B55" s="240"/>
      <c r="C55" s="241" t="s">
        <v>62</v>
      </c>
      <c r="D55" s="246"/>
      <c r="E55" s="278"/>
      <c r="F55" s="279"/>
      <c r="G55" s="246"/>
      <c r="H55" s="257"/>
      <c r="I55" s="235"/>
      <c r="J55" s="235"/>
      <c r="K55" s="274"/>
      <c r="L55" s="274"/>
      <c r="M55" s="27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x14ac:dyDescent="0.25" r="56" customHeight="1" ht="19.5">
      <c r="A56" s="2"/>
      <c r="B56" s="240"/>
      <c r="C56" s="246" t="s">
        <v>195</v>
      </c>
      <c r="D56" s="246"/>
      <c r="E56" s="280"/>
      <c r="F56" s="281">
        <f>E56*Kertoimet!C112</f>
      </c>
      <c r="G56" s="246"/>
      <c r="H56" s="257"/>
      <c r="I56" s="235"/>
      <c r="J56" s="235"/>
      <c r="K56" s="2"/>
      <c r="L56" s="274"/>
      <c r="M56" s="27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x14ac:dyDescent="0.25" r="57" customHeight="1" ht="19.5">
      <c r="A57" s="2"/>
      <c r="B57" s="240"/>
      <c r="C57" s="244" t="s">
        <v>346</v>
      </c>
      <c r="D57" s="246"/>
      <c r="E57" s="247"/>
      <c r="F57" s="250">
        <f>E57*Kertoimet!C115</f>
      </c>
      <c r="G57" s="246"/>
      <c r="H57" s="257"/>
      <c r="I57" s="235"/>
      <c r="J57" s="235"/>
      <c r="K57" s="274"/>
      <c r="L57" s="274"/>
      <c r="M57" s="27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x14ac:dyDescent="0.25" r="58" customHeight="1" ht="19.5">
      <c r="A58" s="2"/>
      <c r="B58" s="240"/>
      <c r="C58" s="246" t="s">
        <v>199</v>
      </c>
      <c r="D58" s="246"/>
      <c r="E58" s="247"/>
      <c r="F58" s="264">
        <f>E58*Kertoimet!C116</f>
      </c>
      <c r="G58" s="246"/>
      <c r="H58" s="257"/>
      <c r="I58" s="235"/>
      <c r="J58" s="235"/>
      <c r="K58" s="274"/>
      <c r="L58" s="274"/>
      <c r="M58" s="27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x14ac:dyDescent="0.25" r="59" customHeight="1" ht="19.5">
      <c r="A59" s="2"/>
      <c r="B59" s="240"/>
      <c r="C59" s="246"/>
      <c r="D59" s="246"/>
      <c r="E59" s="251" t="s">
        <v>330</v>
      </c>
      <c r="F59" s="265">
        <f>SUM(F43:F58)</f>
      </c>
      <c r="G59" s="253" t="s">
        <v>327</v>
      </c>
      <c r="H59" s="257"/>
      <c r="I59" s="235"/>
      <c r="J59" s="235"/>
      <c r="K59" s="274"/>
      <c r="L59" s="274"/>
      <c r="M59" s="27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x14ac:dyDescent="0.25" r="60" customHeight="1" ht="19.5">
      <c r="A60" s="2"/>
      <c r="B60" s="240"/>
      <c r="C60" s="246"/>
      <c r="D60" s="246"/>
      <c r="E60" s="253"/>
      <c r="F60" s="254"/>
      <c r="G60" s="246"/>
      <c r="H60" s="257"/>
      <c r="I60" s="235"/>
      <c r="J60" s="235"/>
      <c r="K60" s="274"/>
      <c r="L60" s="274"/>
      <c r="M60" s="27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x14ac:dyDescent="0.25" r="61" customHeight="1" ht="19.5">
      <c r="A61" s="2"/>
      <c r="B61" s="240"/>
      <c r="C61" s="253" t="s">
        <v>65</v>
      </c>
      <c r="D61" s="246"/>
      <c r="E61" s="282" t="s">
        <v>347</v>
      </c>
      <c r="F61" s="243" t="s">
        <v>327</v>
      </c>
      <c r="G61" s="246"/>
      <c r="H61" s="257"/>
      <c r="I61" s="235"/>
      <c r="J61" s="235"/>
      <c r="K61" s="274"/>
      <c r="L61" s="274"/>
      <c r="M61" s="27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x14ac:dyDescent="0.25" r="62" customHeight="1" ht="19.5">
      <c r="A62" s="2"/>
      <c r="B62" s="240"/>
      <c r="C62" s="246" t="s">
        <v>64</v>
      </c>
      <c r="D62" s="246"/>
      <c r="E62" s="247"/>
      <c r="F62" s="250">
        <f>E62*Kertoimet!C119</f>
      </c>
      <c r="G62" s="246"/>
      <c r="H62" s="257"/>
      <c r="I62" s="235"/>
      <c r="J62" s="235"/>
      <c r="K62" s="274"/>
      <c r="L62" s="274"/>
      <c r="M62" s="27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x14ac:dyDescent="0.25" r="63" customHeight="1" ht="19.5">
      <c r="A63" s="2"/>
      <c r="B63" s="240"/>
      <c r="C63" s="246" t="s">
        <v>348</v>
      </c>
      <c r="D63" s="246"/>
      <c r="E63" s="247"/>
      <c r="F63" s="250">
        <f>E63*Kertoimet!C120</f>
      </c>
      <c r="G63" s="246"/>
      <c r="H63" s="257"/>
      <c r="I63" s="235"/>
      <c r="J63" s="235"/>
      <c r="K63" s="274"/>
      <c r="L63" s="274"/>
      <c r="M63" s="27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x14ac:dyDescent="0.25" r="64" customHeight="1" ht="19.5">
      <c r="A64" s="2"/>
      <c r="B64" s="240"/>
      <c r="C64" s="246" t="s">
        <v>205</v>
      </c>
      <c r="D64" s="253"/>
      <c r="E64" s="247"/>
      <c r="F64" s="250">
        <f>E64*Kertoimet!C121</f>
      </c>
      <c r="G64" s="246"/>
      <c r="H64" s="257"/>
      <c r="I64" s="235"/>
      <c r="J64" s="235"/>
      <c r="K64" s="274"/>
      <c r="L64" s="274"/>
      <c r="M64" s="27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x14ac:dyDescent="0.25" r="65" customHeight="1" ht="19.5">
      <c r="A65" s="2"/>
      <c r="B65" s="240"/>
      <c r="C65" s="246"/>
      <c r="D65" s="253"/>
      <c r="E65" s="251" t="s">
        <v>330</v>
      </c>
      <c r="F65" s="265">
        <f>SUM(F62:F64)</f>
      </c>
      <c r="G65" s="253" t="s">
        <v>327</v>
      </c>
      <c r="H65" s="257"/>
      <c r="I65" s="235"/>
      <c r="J65" s="235"/>
      <c r="K65" s="274"/>
      <c r="L65" s="274"/>
      <c r="M65" s="27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x14ac:dyDescent="0.25" r="66" customHeight="1" ht="19.5">
      <c r="A66" s="2"/>
      <c r="B66" s="240"/>
      <c r="C66" s="246"/>
      <c r="D66" s="253"/>
      <c r="E66" s="253"/>
      <c r="F66" s="283"/>
      <c r="G66" s="246"/>
      <c r="H66" s="257"/>
      <c r="I66" s="235"/>
      <c r="J66" s="235"/>
      <c r="K66" s="274"/>
      <c r="L66" s="274"/>
      <c r="M66" s="27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x14ac:dyDescent="0.25" r="67" customHeight="1" ht="19.5">
      <c r="A67" s="2"/>
      <c r="B67" s="284"/>
      <c r="C67" s="285"/>
      <c r="D67" s="285"/>
      <c r="E67" s="285"/>
      <c r="F67" s="286" t="s">
        <v>349</v>
      </c>
      <c r="G67" s="287"/>
      <c r="H67" s="288"/>
      <c r="I67" s="235"/>
      <c r="J67" s="235"/>
      <c r="K67" s="274"/>
      <c r="L67" s="274"/>
      <c r="M67" s="27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x14ac:dyDescent="0.25" r="68" customHeight="1" ht="16.95">
      <c r="A68" s="2"/>
      <c r="B68" s="289"/>
      <c r="C68" s="290" t="s">
        <v>350</v>
      </c>
      <c r="D68" s="291"/>
      <c r="E68" s="291"/>
      <c r="F68" s="292">
        <f>SUM(F8+F14+F19)</f>
      </c>
      <c r="G68" s="293" t="s">
        <v>25</v>
      </c>
      <c r="H68" s="294"/>
      <c r="I68" s="235"/>
      <c r="J68" s="235"/>
      <c r="K68" s="274"/>
      <c r="L68" s="274"/>
      <c r="M68" s="27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x14ac:dyDescent="0.25" r="69" customHeight="1" ht="18">
      <c r="A69" s="2"/>
      <c r="B69" s="289"/>
      <c r="C69" s="290" t="s">
        <v>351</v>
      </c>
      <c r="D69" s="291"/>
      <c r="E69" s="291"/>
      <c r="F69" s="292">
        <f>F39</f>
      </c>
      <c r="G69" s="293" t="s">
        <v>25</v>
      </c>
      <c r="H69" s="294"/>
      <c r="I69" s="235"/>
      <c r="J69" s="235"/>
      <c r="K69" s="274"/>
      <c r="L69" s="274"/>
      <c r="M69" s="27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x14ac:dyDescent="0.25" r="70" customHeight="1" ht="18">
      <c r="A70" s="2"/>
      <c r="B70" s="289"/>
      <c r="C70" s="290" t="s">
        <v>352</v>
      </c>
      <c r="D70" s="291"/>
      <c r="E70" s="291"/>
      <c r="F70" s="292">
        <f>F59+F65</f>
      </c>
      <c r="G70" s="293" t="s">
        <v>25</v>
      </c>
      <c r="H70" s="294"/>
      <c r="I70" s="235"/>
      <c r="J70" s="235"/>
      <c r="K70" s="274"/>
      <c r="L70" s="274"/>
      <c r="M70" s="27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x14ac:dyDescent="0.25" r="71" customHeight="1" ht="16.95">
      <c r="A71" s="2"/>
      <c r="B71" s="289"/>
      <c r="C71" s="290" t="s">
        <v>353</v>
      </c>
      <c r="D71" s="291"/>
      <c r="E71" s="291"/>
      <c r="F71" s="292">
        <f>F8+F14+F19+F39+F59+F65</f>
      </c>
      <c r="G71" s="293" t="s">
        <v>25</v>
      </c>
      <c r="H71" s="294"/>
      <c r="I71" s="235"/>
      <c r="J71" s="235"/>
      <c r="K71" s="274"/>
      <c r="L71" s="274"/>
      <c r="M71" s="27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x14ac:dyDescent="0.25" r="72" customHeight="1" ht="19.5">
      <c r="A72" s="2"/>
      <c r="B72" s="2"/>
      <c r="C72" s="2"/>
      <c r="D72" s="86"/>
      <c r="E72" s="2"/>
      <c r="F72" s="234"/>
      <c r="G72" s="2"/>
      <c r="H72" s="2"/>
      <c r="I72" s="274"/>
      <c r="J72" s="274"/>
      <c r="K72" s="274"/>
      <c r="L72" s="274"/>
      <c r="M72" s="27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</row>
    <row x14ac:dyDescent="0.25" r="73" customHeight="1" ht="19.5">
      <c r="A73" s="2"/>
      <c r="B73" s="2"/>
      <c r="C73" s="2"/>
      <c r="D73" s="86"/>
      <c r="E73" s="2"/>
      <c r="F73" s="295" t="s">
        <v>35</v>
      </c>
      <c r="G73" s="2"/>
      <c r="H73" s="2"/>
      <c r="I73" s="274"/>
      <c r="J73" s="274"/>
      <c r="K73" s="274"/>
      <c r="L73" s="274"/>
      <c r="M73" s="27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x14ac:dyDescent="0.25" r="74" customHeight="1" ht="19.5">
      <c r="A74" s="2"/>
      <c r="B74" s="2"/>
      <c r="C74" s="2"/>
      <c r="D74" s="86"/>
      <c r="E74" s="2"/>
      <c r="F74" s="234"/>
      <c r="G74" s="2"/>
      <c r="H74" s="2"/>
      <c r="I74" s="274"/>
      <c r="J74" s="274"/>
      <c r="K74" s="274"/>
      <c r="L74" s="274"/>
      <c r="M74" s="27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</row>
    <row x14ac:dyDescent="0.25" r="75" customHeight="1" ht="19.5">
      <c r="A75" s="2"/>
      <c r="B75" s="2"/>
      <c r="C75" s="2"/>
      <c r="D75" s="86"/>
      <c r="E75" s="2"/>
      <c r="F75" s="234"/>
      <c r="G75" s="2"/>
      <c r="H75" s="2"/>
      <c r="I75" s="274"/>
      <c r="J75" s="274"/>
      <c r="K75" s="274"/>
      <c r="L75" s="274"/>
      <c r="M75" s="27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</row>
    <row x14ac:dyDescent="0.25" r="76" customHeight="1" ht="19.5">
      <c r="A76" s="2"/>
      <c r="B76" s="2"/>
      <c r="C76" s="2"/>
      <c r="D76" s="86"/>
      <c r="E76" s="2"/>
      <c r="F76" s="234"/>
      <c r="G76" s="2"/>
      <c r="H76" s="2"/>
      <c r="I76" s="274"/>
      <c r="J76" s="274"/>
      <c r="K76" s="274"/>
      <c r="L76" s="274"/>
      <c r="M76" s="27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</row>
    <row x14ac:dyDescent="0.25" r="77" customHeight="1" ht="19.5">
      <c r="A77" s="2"/>
      <c r="B77" s="2"/>
      <c r="C77" s="2"/>
      <c r="D77" s="86"/>
      <c r="E77" s="2"/>
      <c r="F77" s="234"/>
      <c r="G77" s="2"/>
      <c r="H77" s="2"/>
      <c r="I77" s="274"/>
      <c r="J77" s="274"/>
      <c r="K77" s="274"/>
      <c r="L77" s="274"/>
      <c r="M77" s="27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</row>
    <row x14ac:dyDescent="0.25" r="78" customHeight="1" ht="19.5">
      <c r="A78" s="2"/>
      <c r="B78" s="2"/>
      <c r="C78" s="2"/>
      <c r="D78" s="86"/>
      <c r="E78" s="2"/>
      <c r="F78" s="2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</row>
    <row x14ac:dyDescent="0.25" r="79" customHeight="1" ht="19.5">
      <c r="A79" s="2"/>
      <c r="B79" s="2"/>
      <c r="C79" s="2"/>
      <c r="D79" s="86"/>
      <c r="E79" s="2"/>
      <c r="F79" s="2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</row>
    <row x14ac:dyDescent="0.25" r="80" customHeight="1" ht="19.5">
      <c r="A80" s="2"/>
      <c r="B80" s="2"/>
      <c r="C80" s="2"/>
      <c r="D80" s="86"/>
      <c r="E80" s="2"/>
      <c r="F80" s="2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</row>
    <row x14ac:dyDescent="0.25" r="81" customHeight="1" ht="19.5">
      <c r="A81" s="2"/>
      <c r="B81" s="2"/>
      <c r="C81" s="2"/>
      <c r="D81" s="86"/>
      <c r="E81" s="2"/>
      <c r="F81" s="2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</row>
    <row x14ac:dyDescent="0.25" r="82" customHeight="1" ht="19.5">
      <c r="A82" s="2"/>
      <c r="B82" s="2"/>
      <c r="C82" s="2"/>
      <c r="D82" s="86"/>
      <c r="E82" s="2"/>
      <c r="F82" s="2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</row>
    <row x14ac:dyDescent="0.25" r="83" customHeight="1" ht="19.5">
      <c r="A83" s="2"/>
      <c r="B83" s="2"/>
      <c r="C83" s="2"/>
      <c r="D83" s="86"/>
      <c r="E83" s="2"/>
      <c r="F83" s="2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</row>
    <row x14ac:dyDescent="0.25" r="84" customHeight="1" ht="19.5">
      <c r="A84" s="2"/>
      <c r="B84" s="2"/>
      <c r="C84" s="2"/>
      <c r="D84" s="86"/>
      <c r="E84" s="2"/>
      <c r="F84" s="2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</row>
    <row x14ac:dyDescent="0.25" r="85" customHeight="1" ht="19.5">
      <c r="A85" s="2"/>
      <c r="B85" s="2"/>
      <c r="C85" s="2"/>
      <c r="D85" s="86"/>
      <c r="E85" s="2"/>
      <c r="F85" s="2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</row>
    <row x14ac:dyDescent="0.25" r="86" customHeight="1" ht="19.5">
      <c r="A86" s="2"/>
      <c r="B86" s="2"/>
      <c r="C86" s="2"/>
      <c r="D86" s="86"/>
      <c r="E86" s="2"/>
      <c r="F86" s="2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</row>
    <row x14ac:dyDescent="0.25" r="87" customHeight="1" ht="19.5">
      <c r="A87" s="2"/>
      <c r="B87" s="2"/>
      <c r="C87" s="2"/>
      <c r="D87" s="86"/>
      <c r="E87" s="2"/>
      <c r="F87" s="2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</row>
    <row x14ac:dyDescent="0.25" r="88" customHeight="1" ht="19.5">
      <c r="A88" s="2"/>
      <c r="B88" s="2"/>
      <c r="C88" s="2"/>
      <c r="D88" s="86"/>
      <c r="E88" s="2"/>
      <c r="F88" s="2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</row>
    <row x14ac:dyDescent="0.25" r="89" customHeight="1" ht="19.5">
      <c r="A89" s="2"/>
      <c r="B89" s="2"/>
      <c r="C89" s="2"/>
      <c r="D89" s="86"/>
      <c r="E89" s="2"/>
      <c r="F89" s="2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</row>
    <row x14ac:dyDescent="0.25" r="90" customHeight="1" ht="19.5">
      <c r="A90" s="2"/>
      <c r="B90" s="2"/>
      <c r="C90" s="2"/>
      <c r="D90" s="86"/>
      <c r="E90" s="2"/>
      <c r="F90" s="2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</row>
    <row x14ac:dyDescent="0.25" r="91" customHeight="1" ht="19.5">
      <c r="A91" s="2"/>
      <c r="B91" s="2"/>
      <c r="C91" s="2"/>
      <c r="D91" s="86"/>
      <c r="E91" s="2"/>
      <c r="F91" s="2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</row>
    <row x14ac:dyDescent="0.25" r="92" customHeight="1" ht="19.5">
      <c r="A92" s="2"/>
      <c r="B92" s="2"/>
      <c r="C92" s="2"/>
      <c r="D92" s="86"/>
      <c r="E92" s="2"/>
      <c r="F92" s="2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</row>
    <row x14ac:dyDescent="0.25" r="93" customHeight="1" ht="19.5">
      <c r="A93" s="2"/>
      <c r="B93" s="2"/>
      <c r="C93" s="2"/>
      <c r="D93" s="86"/>
      <c r="E93" s="2"/>
      <c r="F93" s="2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</row>
    <row x14ac:dyDescent="0.25" r="94" customHeight="1" ht="19.5">
      <c r="A94" s="2"/>
      <c r="B94" s="2"/>
      <c r="C94" s="2"/>
      <c r="D94" s="86"/>
      <c r="E94" s="2"/>
      <c r="F94" s="2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</row>
    <row x14ac:dyDescent="0.25" r="95" customHeight="1" ht="19.5">
      <c r="A95" s="2"/>
      <c r="B95" s="2"/>
      <c r="C95" s="2"/>
      <c r="D95" s="86"/>
      <c r="E95" s="2"/>
      <c r="F95" s="2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</row>
    <row x14ac:dyDescent="0.25" r="96" customHeight="1" ht="19.5">
      <c r="A96" s="2"/>
      <c r="B96" s="2"/>
      <c r="C96" s="2"/>
      <c r="D96" s="86"/>
      <c r="E96" s="2"/>
      <c r="F96" s="2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</row>
    <row x14ac:dyDescent="0.25" r="97" customHeight="1" ht="19.5">
      <c r="A97" s="2"/>
      <c r="B97" s="2"/>
      <c r="C97" s="2"/>
      <c r="D97" s="86"/>
      <c r="E97" s="2"/>
      <c r="F97" s="2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</row>
    <row x14ac:dyDescent="0.25" r="98" customHeight="1" ht="19.5">
      <c r="A98" s="2"/>
      <c r="B98" s="2"/>
      <c r="C98" s="2"/>
      <c r="D98" s="86"/>
      <c r="E98" s="2"/>
      <c r="F98" s="2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</row>
    <row x14ac:dyDescent="0.25" r="99" customHeight="1" ht="19.5">
      <c r="A99" s="2"/>
      <c r="B99" s="2"/>
      <c r="C99" s="2"/>
      <c r="D99" s="86"/>
      <c r="E99" s="2"/>
      <c r="F99" s="2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</row>
    <row x14ac:dyDescent="0.25" r="100" customHeight="1" ht="19.5">
      <c r="A100" s="2"/>
      <c r="B100" s="2"/>
      <c r="C100" s="2"/>
      <c r="D100" s="86"/>
      <c r="E100" s="2"/>
      <c r="F100" s="2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</row>
    <row x14ac:dyDescent="0.25" r="101" customHeight="1" ht="19.5">
      <c r="A101" s="2"/>
      <c r="B101" s="2"/>
      <c r="C101" s="2"/>
      <c r="D101" s="86"/>
      <c r="E101" s="2"/>
      <c r="F101" s="2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</row>
    <row x14ac:dyDescent="0.25" r="102" customHeight="1" ht="19.5">
      <c r="A102" s="2"/>
      <c r="B102" s="2"/>
      <c r="C102" s="2"/>
      <c r="D102" s="86"/>
      <c r="E102" s="2"/>
      <c r="F102" s="2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</row>
    <row x14ac:dyDescent="0.25" r="103" customHeight="1" ht="19.5">
      <c r="A103" s="2"/>
      <c r="B103" s="2"/>
      <c r="C103" s="2"/>
      <c r="D103" s="86"/>
      <c r="E103" s="2"/>
      <c r="F103" s="2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</row>
    <row x14ac:dyDescent="0.25" r="104" customHeight="1" ht="19.5">
      <c r="A104" s="2"/>
      <c r="B104" s="208"/>
      <c r="C104" s="208"/>
      <c r="D104" s="2"/>
      <c r="E104" s="208"/>
      <c r="F104" s="296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  <c r="CL104" s="208"/>
      <c r="CM104" s="208"/>
      <c r="CN104" s="208"/>
      <c r="CO104" s="208"/>
      <c r="CP104" s="208"/>
      <c r="CQ104" s="208"/>
      <c r="CR104" s="208"/>
      <c r="CS104" s="208"/>
      <c r="CT104" s="208"/>
      <c r="CU104" s="208"/>
      <c r="CV104" s="208"/>
      <c r="CW104" s="208"/>
      <c r="CX104" s="208"/>
      <c r="CY104" s="208"/>
      <c r="CZ104" s="208"/>
      <c r="DA104" s="208"/>
      <c r="DB104" s="208"/>
      <c r="DC104" s="208"/>
      <c r="DD104" s="208"/>
      <c r="DE104" s="208"/>
      <c r="DF104" s="208"/>
    </row>
    <row x14ac:dyDescent="0.25" r="105" customHeight="1" ht="19.5">
      <c r="A105" s="2"/>
      <c r="B105" s="208"/>
      <c r="C105" s="208"/>
      <c r="D105" s="2"/>
      <c r="E105" s="208"/>
      <c r="F105" s="296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8"/>
      <c r="BN105" s="208"/>
      <c r="BO105" s="208"/>
      <c r="BP105" s="208"/>
      <c r="BQ105" s="208"/>
      <c r="BR105" s="208"/>
      <c r="BS105" s="208"/>
      <c r="BT105" s="208"/>
      <c r="BU105" s="208"/>
      <c r="BV105" s="208"/>
      <c r="BW105" s="208"/>
      <c r="BX105" s="208"/>
      <c r="BY105" s="208"/>
      <c r="BZ105" s="208"/>
      <c r="CA105" s="208"/>
      <c r="CB105" s="208"/>
      <c r="CC105" s="208"/>
      <c r="CD105" s="208"/>
      <c r="CE105" s="208"/>
      <c r="CF105" s="208"/>
      <c r="CG105" s="208"/>
      <c r="CH105" s="208"/>
      <c r="CI105" s="208"/>
      <c r="CJ105" s="208"/>
      <c r="CK105" s="208"/>
      <c r="CL105" s="208"/>
      <c r="CM105" s="208"/>
      <c r="CN105" s="208"/>
      <c r="CO105" s="208"/>
      <c r="CP105" s="208"/>
      <c r="CQ105" s="208"/>
      <c r="CR105" s="208"/>
      <c r="CS105" s="208"/>
      <c r="CT105" s="208"/>
      <c r="CU105" s="208"/>
      <c r="CV105" s="208"/>
      <c r="CW105" s="208"/>
      <c r="CX105" s="208"/>
      <c r="CY105" s="208"/>
      <c r="CZ105" s="208"/>
      <c r="DA105" s="208"/>
      <c r="DB105" s="208"/>
      <c r="DC105" s="208"/>
      <c r="DD105" s="208"/>
      <c r="DE105" s="208"/>
      <c r="DF105" s="208"/>
    </row>
    <row x14ac:dyDescent="0.25" r="106" customHeight="1" ht="19.5">
      <c r="A106" s="2"/>
      <c r="B106" s="208"/>
      <c r="C106" s="208"/>
      <c r="D106" s="2"/>
      <c r="E106" s="208"/>
      <c r="F106" s="296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8"/>
      <c r="BN106" s="208"/>
      <c r="BO106" s="208"/>
      <c r="BP106" s="208"/>
      <c r="BQ106" s="208"/>
      <c r="BR106" s="208"/>
      <c r="BS106" s="208"/>
      <c r="BT106" s="208"/>
      <c r="BU106" s="208"/>
      <c r="BV106" s="208"/>
      <c r="BW106" s="208"/>
      <c r="BX106" s="208"/>
      <c r="BY106" s="208"/>
      <c r="BZ106" s="208"/>
      <c r="CA106" s="208"/>
      <c r="CB106" s="208"/>
      <c r="CC106" s="208"/>
      <c r="CD106" s="208"/>
      <c r="CE106" s="208"/>
      <c r="CF106" s="208"/>
      <c r="CG106" s="208"/>
      <c r="CH106" s="208"/>
      <c r="CI106" s="208"/>
      <c r="CJ106" s="208"/>
      <c r="CK106" s="208"/>
      <c r="CL106" s="208"/>
      <c r="CM106" s="208"/>
      <c r="CN106" s="208"/>
      <c r="CO106" s="208"/>
      <c r="CP106" s="208"/>
      <c r="CQ106" s="208"/>
      <c r="CR106" s="208"/>
      <c r="CS106" s="208"/>
      <c r="CT106" s="208"/>
      <c r="CU106" s="208"/>
      <c r="CV106" s="208"/>
      <c r="CW106" s="208"/>
      <c r="CX106" s="208"/>
      <c r="CY106" s="208"/>
      <c r="CZ106" s="208"/>
      <c r="DA106" s="208"/>
      <c r="DB106" s="208"/>
      <c r="DC106" s="208"/>
      <c r="DD106" s="208"/>
      <c r="DE106" s="208"/>
      <c r="DF106" s="208"/>
    </row>
    <row x14ac:dyDescent="0.25" r="107" customHeight="1" ht="19.5">
      <c r="A107" s="2"/>
      <c r="B107" s="208"/>
      <c r="C107" s="208"/>
      <c r="D107" s="2"/>
      <c r="E107" s="208"/>
      <c r="F107" s="296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8"/>
      <c r="BN107" s="208"/>
      <c r="BO107" s="208"/>
      <c r="BP107" s="208"/>
      <c r="BQ107" s="208"/>
      <c r="BR107" s="208"/>
      <c r="BS107" s="208"/>
      <c r="BT107" s="208"/>
      <c r="BU107" s="208"/>
      <c r="BV107" s="208"/>
      <c r="BW107" s="208"/>
      <c r="BX107" s="208"/>
      <c r="BY107" s="208"/>
      <c r="BZ107" s="208"/>
      <c r="CA107" s="208"/>
      <c r="CB107" s="208"/>
      <c r="CC107" s="208"/>
      <c r="CD107" s="208"/>
      <c r="CE107" s="208"/>
      <c r="CF107" s="208"/>
      <c r="CG107" s="208"/>
      <c r="CH107" s="208"/>
      <c r="CI107" s="208"/>
      <c r="CJ107" s="208"/>
      <c r="CK107" s="208"/>
      <c r="CL107" s="208"/>
      <c r="CM107" s="208"/>
      <c r="CN107" s="208"/>
      <c r="CO107" s="208"/>
      <c r="CP107" s="208"/>
      <c r="CQ107" s="208"/>
      <c r="CR107" s="208"/>
      <c r="CS107" s="208"/>
      <c r="CT107" s="208"/>
      <c r="CU107" s="208"/>
      <c r="CV107" s="208"/>
      <c r="CW107" s="208"/>
      <c r="CX107" s="208"/>
      <c r="CY107" s="208"/>
      <c r="CZ107" s="208"/>
      <c r="DA107" s="208"/>
      <c r="DB107" s="208"/>
      <c r="DC107" s="208"/>
      <c r="DD107" s="208"/>
      <c r="DE107" s="208"/>
      <c r="DF107" s="208"/>
    </row>
    <row x14ac:dyDescent="0.25" r="108" customHeight="1" ht="19.5">
      <c r="A108" s="2"/>
      <c r="B108" s="208"/>
      <c r="C108" s="208"/>
      <c r="D108" s="2"/>
      <c r="E108" s="208"/>
      <c r="F108" s="296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08"/>
      <c r="BU108" s="208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  <c r="CI108" s="208"/>
      <c r="CJ108" s="208"/>
      <c r="CK108" s="208"/>
      <c r="CL108" s="208"/>
      <c r="CM108" s="208"/>
      <c r="CN108" s="208"/>
      <c r="CO108" s="208"/>
      <c r="CP108" s="208"/>
      <c r="CQ108" s="208"/>
      <c r="CR108" s="208"/>
      <c r="CS108" s="208"/>
      <c r="CT108" s="208"/>
      <c r="CU108" s="208"/>
      <c r="CV108" s="208"/>
      <c r="CW108" s="208"/>
      <c r="CX108" s="208"/>
      <c r="CY108" s="208"/>
      <c r="CZ108" s="208"/>
      <c r="DA108" s="208"/>
      <c r="DB108" s="208"/>
      <c r="DC108" s="208"/>
      <c r="DD108" s="208"/>
      <c r="DE108" s="208"/>
      <c r="DF108" s="208"/>
    </row>
    <row x14ac:dyDescent="0.25" r="109" customHeight="1" ht="19.5">
      <c r="A109" s="2"/>
      <c r="B109" s="208"/>
      <c r="C109" s="208"/>
      <c r="D109" s="2"/>
      <c r="E109" s="208"/>
      <c r="F109" s="296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"/>
      <c r="Y109" s="208"/>
      <c r="Z109" s="208"/>
      <c r="AA109" s="208"/>
      <c r="AB109" s="208"/>
      <c r="AC109" s="208"/>
      <c r="AD109" s="208"/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  <c r="BI109" s="208"/>
      <c r="BJ109" s="208"/>
      <c r="BK109" s="208"/>
      <c r="BL109" s="208"/>
      <c r="BM109" s="208"/>
      <c r="BN109" s="208"/>
      <c r="BO109" s="208"/>
      <c r="BP109" s="208"/>
      <c r="BQ109" s="208"/>
      <c r="BR109" s="208"/>
      <c r="BS109" s="208"/>
      <c r="BT109" s="208"/>
      <c r="BU109" s="208"/>
      <c r="BV109" s="208"/>
      <c r="BW109" s="208"/>
      <c r="BX109" s="208"/>
      <c r="BY109" s="208"/>
      <c r="BZ109" s="208"/>
      <c r="CA109" s="208"/>
      <c r="CB109" s="208"/>
      <c r="CC109" s="208"/>
      <c r="CD109" s="208"/>
      <c r="CE109" s="208"/>
      <c r="CF109" s="208"/>
      <c r="CG109" s="208"/>
      <c r="CH109" s="208"/>
      <c r="CI109" s="208"/>
      <c r="CJ109" s="208"/>
      <c r="CK109" s="208"/>
      <c r="CL109" s="208"/>
      <c r="CM109" s="208"/>
      <c r="CN109" s="208"/>
      <c r="CO109" s="208"/>
      <c r="CP109" s="208"/>
      <c r="CQ109" s="208"/>
      <c r="CR109" s="208"/>
      <c r="CS109" s="208"/>
      <c r="CT109" s="208"/>
      <c r="CU109" s="208"/>
      <c r="CV109" s="208"/>
      <c r="CW109" s="208"/>
      <c r="CX109" s="208"/>
      <c r="CY109" s="208"/>
      <c r="CZ109" s="208"/>
      <c r="DA109" s="208"/>
      <c r="DB109" s="208"/>
      <c r="DC109" s="208"/>
      <c r="DD109" s="208"/>
      <c r="DE109" s="208"/>
      <c r="DF109" s="208"/>
    </row>
    <row x14ac:dyDescent="0.25" r="110" customHeight="1" ht="19.5">
      <c r="A110" s="2"/>
      <c r="B110" s="208"/>
      <c r="C110" s="208"/>
      <c r="D110" s="2"/>
      <c r="E110" s="208"/>
      <c r="F110" s="296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208"/>
      <c r="BJ110" s="208"/>
      <c r="BK110" s="208"/>
      <c r="BL110" s="208"/>
      <c r="BM110" s="208"/>
      <c r="BN110" s="208"/>
      <c r="BO110" s="208"/>
      <c r="BP110" s="208"/>
      <c r="BQ110" s="208"/>
      <c r="BR110" s="208"/>
      <c r="BS110" s="208"/>
      <c r="BT110" s="208"/>
      <c r="BU110" s="208"/>
      <c r="BV110" s="208"/>
      <c r="BW110" s="208"/>
      <c r="BX110" s="208"/>
      <c r="BY110" s="208"/>
      <c r="BZ110" s="208"/>
      <c r="CA110" s="208"/>
      <c r="CB110" s="208"/>
      <c r="CC110" s="208"/>
      <c r="CD110" s="208"/>
      <c r="CE110" s="208"/>
      <c r="CF110" s="208"/>
      <c r="CG110" s="208"/>
      <c r="CH110" s="208"/>
      <c r="CI110" s="208"/>
      <c r="CJ110" s="208"/>
      <c r="CK110" s="208"/>
      <c r="CL110" s="208"/>
      <c r="CM110" s="208"/>
      <c r="CN110" s="208"/>
      <c r="CO110" s="208"/>
      <c r="CP110" s="208"/>
      <c r="CQ110" s="208"/>
      <c r="CR110" s="208"/>
      <c r="CS110" s="208"/>
      <c r="CT110" s="208"/>
      <c r="CU110" s="208"/>
      <c r="CV110" s="208"/>
      <c r="CW110" s="208"/>
      <c r="CX110" s="208"/>
      <c r="CY110" s="208"/>
      <c r="CZ110" s="208"/>
      <c r="DA110" s="208"/>
      <c r="DB110" s="208"/>
      <c r="DC110" s="208"/>
      <c r="DD110" s="208"/>
      <c r="DE110" s="208"/>
      <c r="DF110" s="208"/>
    </row>
    <row x14ac:dyDescent="0.25" r="111" customHeight="1" ht="19.5">
      <c r="A111" s="2"/>
      <c r="B111" s="208"/>
      <c r="C111" s="208"/>
      <c r="D111" s="2"/>
      <c r="E111" s="208"/>
      <c r="F111" s="296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  <c r="AX111" s="208"/>
      <c r="AY111" s="208"/>
      <c r="AZ111" s="208"/>
      <c r="BA111" s="208"/>
      <c r="BB111" s="208"/>
      <c r="BC111" s="208"/>
      <c r="BD111" s="208"/>
      <c r="BE111" s="208"/>
      <c r="BF111" s="208"/>
      <c r="BG111" s="208"/>
      <c r="BH111" s="208"/>
      <c r="BI111" s="208"/>
      <c r="BJ111" s="208"/>
      <c r="BK111" s="208"/>
      <c r="BL111" s="208"/>
      <c r="BM111" s="208"/>
      <c r="BN111" s="208"/>
      <c r="BO111" s="208"/>
      <c r="BP111" s="208"/>
      <c r="BQ111" s="208"/>
      <c r="BR111" s="208"/>
      <c r="BS111" s="208"/>
      <c r="BT111" s="208"/>
      <c r="BU111" s="208"/>
      <c r="BV111" s="208"/>
      <c r="BW111" s="208"/>
      <c r="BX111" s="208"/>
      <c r="BY111" s="208"/>
      <c r="BZ111" s="208"/>
      <c r="CA111" s="208"/>
      <c r="CB111" s="208"/>
      <c r="CC111" s="208"/>
      <c r="CD111" s="208"/>
      <c r="CE111" s="208"/>
      <c r="CF111" s="208"/>
      <c r="CG111" s="208"/>
      <c r="CH111" s="208"/>
      <c r="CI111" s="208"/>
      <c r="CJ111" s="208"/>
      <c r="CK111" s="208"/>
      <c r="CL111" s="208"/>
      <c r="CM111" s="208"/>
      <c r="CN111" s="208"/>
      <c r="CO111" s="208"/>
      <c r="CP111" s="208"/>
      <c r="CQ111" s="208"/>
      <c r="CR111" s="208"/>
      <c r="CS111" s="208"/>
      <c r="CT111" s="208"/>
      <c r="CU111" s="208"/>
      <c r="CV111" s="208"/>
      <c r="CW111" s="208"/>
      <c r="CX111" s="208"/>
      <c r="CY111" s="208"/>
      <c r="CZ111" s="208"/>
      <c r="DA111" s="208"/>
      <c r="DB111" s="208"/>
      <c r="DC111" s="208"/>
      <c r="DD111" s="208"/>
      <c r="DE111" s="208"/>
      <c r="DF111" s="208"/>
    </row>
    <row x14ac:dyDescent="0.25" r="112" customHeight="1" ht="19.5">
      <c r="A112" s="2"/>
      <c r="B112" s="208"/>
      <c r="C112" s="208"/>
      <c r="D112" s="2"/>
      <c r="E112" s="208"/>
      <c r="F112" s="296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08"/>
      <c r="BA112" s="208"/>
      <c r="BB112" s="208"/>
      <c r="BC112" s="208"/>
      <c r="BD112" s="208"/>
      <c r="BE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  <c r="CL112" s="208"/>
      <c r="CM112" s="208"/>
      <c r="CN112" s="208"/>
      <c r="CO112" s="208"/>
      <c r="CP112" s="208"/>
      <c r="CQ112" s="208"/>
      <c r="CR112" s="208"/>
      <c r="CS112" s="208"/>
      <c r="CT112" s="208"/>
      <c r="CU112" s="208"/>
      <c r="CV112" s="208"/>
      <c r="CW112" s="208"/>
      <c r="CX112" s="208"/>
      <c r="CY112" s="208"/>
      <c r="CZ112" s="208"/>
      <c r="DA112" s="208"/>
      <c r="DB112" s="208"/>
      <c r="DC112" s="208"/>
      <c r="DD112" s="208"/>
      <c r="DE112" s="208"/>
      <c r="DF112" s="208"/>
    </row>
    <row x14ac:dyDescent="0.25" r="113" customHeight="1" ht="19.5">
      <c r="A113" s="2"/>
      <c r="B113" s="208"/>
      <c r="C113" s="208"/>
      <c r="D113" s="2"/>
      <c r="E113" s="208"/>
      <c r="F113" s="296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08"/>
      <c r="AU113" s="208"/>
      <c r="AV113" s="208"/>
      <c r="AW113" s="208"/>
      <c r="AX113" s="208"/>
      <c r="AY113" s="208"/>
      <c r="AZ113" s="208"/>
      <c r="BA113" s="208"/>
      <c r="BB113" s="208"/>
      <c r="BC113" s="208"/>
      <c r="BD113" s="208"/>
      <c r="BE113" s="208"/>
      <c r="BF113" s="208"/>
      <c r="BG113" s="208"/>
      <c r="BH113" s="208"/>
      <c r="BI113" s="208"/>
      <c r="BJ113" s="208"/>
      <c r="BK113" s="208"/>
      <c r="BL113" s="208"/>
      <c r="BM113" s="208"/>
      <c r="BN113" s="208"/>
      <c r="BO113" s="208"/>
      <c r="BP113" s="208"/>
      <c r="BQ113" s="208"/>
      <c r="BR113" s="208"/>
      <c r="BS113" s="208"/>
      <c r="BT113" s="208"/>
      <c r="BU113" s="208"/>
      <c r="BV113" s="208"/>
      <c r="BW113" s="208"/>
      <c r="BX113" s="208"/>
      <c r="BY113" s="208"/>
      <c r="BZ113" s="208"/>
      <c r="CA113" s="208"/>
      <c r="CB113" s="208"/>
      <c r="CC113" s="208"/>
      <c r="CD113" s="208"/>
      <c r="CE113" s="208"/>
      <c r="CF113" s="208"/>
      <c r="CG113" s="208"/>
      <c r="CH113" s="208"/>
      <c r="CI113" s="208"/>
      <c r="CJ113" s="208"/>
      <c r="CK113" s="208"/>
      <c r="CL113" s="208"/>
      <c r="CM113" s="208"/>
      <c r="CN113" s="208"/>
      <c r="CO113" s="208"/>
      <c r="CP113" s="208"/>
      <c r="CQ113" s="208"/>
      <c r="CR113" s="208"/>
      <c r="CS113" s="208"/>
      <c r="CT113" s="208"/>
      <c r="CU113" s="208"/>
      <c r="CV113" s="208"/>
      <c r="CW113" s="208"/>
      <c r="CX113" s="208"/>
      <c r="CY113" s="208"/>
      <c r="CZ113" s="208"/>
      <c r="DA113" s="208"/>
      <c r="DB113" s="208"/>
      <c r="DC113" s="208"/>
      <c r="DD113" s="208"/>
      <c r="DE113" s="208"/>
      <c r="DF113" s="208"/>
    </row>
    <row x14ac:dyDescent="0.25" r="114" customHeight="1" ht="19.5">
      <c r="A114" s="2"/>
      <c r="B114" s="208"/>
      <c r="C114" s="208"/>
      <c r="D114" s="2"/>
      <c r="E114" s="208"/>
      <c r="F114" s="296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208"/>
      <c r="BB114" s="208"/>
      <c r="BC114" s="208"/>
      <c r="BD114" s="208"/>
      <c r="BE114" s="208"/>
      <c r="BF114" s="208"/>
      <c r="BG114" s="208"/>
      <c r="BH114" s="208"/>
      <c r="BI114" s="208"/>
      <c r="BJ114" s="208"/>
      <c r="BK114" s="208"/>
      <c r="BL114" s="208"/>
      <c r="BM114" s="208"/>
      <c r="BN114" s="208"/>
      <c r="BO114" s="208"/>
      <c r="BP114" s="208"/>
      <c r="BQ114" s="208"/>
      <c r="BR114" s="208"/>
      <c r="BS114" s="208"/>
      <c r="BT114" s="208"/>
      <c r="BU114" s="208"/>
      <c r="BV114" s="208"/>
      <c r="BW114" s="208"/>
      <c r="BX114" s="208"/>
      <c r="BY114" s="208"/>
      <c r="BZ114" s="208"/>
      <c r="CA114" s="208"/>
      <c r="CB114" s="208"/>
      <c r="CC114" s="208"/>
      <c r="CD114" s="208"/>
      <c r="CE114" s="208"/>
      <c r="CF114" s="208"/>
      <c r="CG114" s="208"/>
      <c r="CH114" s="208"/>
      <c r="CI114" s="208"/>
      <c r="CJ114" s="208"/>
      <c r="CK114" s="208"/>
      <c r="CL114" s="208"/>
      <c r="CM114" s="208"/>
      <c r="CN114" s="208"/>
      <c r="CO114" s="208"/>
      <c r="CP114" s="208"/>
      <c r="CQ114" s="208"/>
      <c r="CR114" s="208"/>
      <c r="CS114" s="208"/>
      <c r="CT114" s="208"/>
      <c r="CU114" s="208"/>
      <c r="CV114" s="208"/>
      <c r="CW114" s="208"/>
      <c r="CX114" s="208"/>
      <c r="CY114" s="208"/>
      <c r="CZ114" s="208"/>
      <c r="DA114" s="208"/>
      <c r="DB114" s="208"/>
      <c r="DC114" s="208"/>
      <c r="DD114" s="208"/>
      <c r="DE114" s="208"/>
      <c r="DF114" s="208"/>
    </row>
    <row x14ac:dyDescent="0.25" r="115" customHeight="1" ht="19.5">
      <c r="A115" s="2"/>
      <c r="B115" s="208"/>
      <c r="C115" s="208"/>
      <c r="D115" s="2"/>
      <c r="E115" s="208"/>
      <c r="F115" s="296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08"/>
      <c r="AT115" s="208"/>
      <c r="AU115" s="208"/>
      <c r="AV115" s="208"/>
      <c r="AW115" s="208"/>
      <c r="AX115" s="208"/>
      <c r="AY115" s="208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8"/>
      <c r="BQ115" s="208"/>
      <c r="BR115" s="208"/>
      <c r="BS115" s="208"/>
      <c r="BT115" s="208"/>
      <c r="BU115" s="208"/>
      <c r="BV115" s="208"/>
      <c r="BW115" s="208"/>
      <c r="BX115" s="208"/>
      <c r="BY115" s="208"/>
      <c r="BZ115" s="208"/>
      <c r="CA115" s="208"/>
      <c r="CB115" s="208"/>
      <c r="CC115" s="208"/>
      <c r="CD115" s="208"/>
      <c r="CE115" s="208"/>
      <c r="CF115" s="208"/>
      <c r="CG115" s="208"/>
      <c r="CH115" s="208"/>
      <c r="CI115" s="208"/>
      <c r="CJ115" s="208"/>
      <c r="CK115" s="208"/>
      <c r="CL115" s="208"/>
      <c r="CM115" s="208"/>
      <c r="CN115" s="208"/>
      <c r="CO115" s="208"/>
      <c r="CP115" s="208"/>
      <c r="CQ115" s="208"/>
      <c r="CR115" s="208"/>
      <c r="CS115" s="208"/>
      <c r="CT115" s="208"/>
      <c r="CU115" s="208"/>
      <c r="CV115" s="208"/>
      <c r="CW115" s="208"/>
      <c r="CX115" s="208"/>
      <c r="CY115" s="208"/>
      <c r="CZ115" s="208"/>
      <c r="DA115" s="208"/>
      <c r="DB115" s="208"/>
      <c r="DC115" s="208"/>
      <c r="DD115" s="208"/>
      <c r="DE115" s="208"/>
      <c r="DF115" s="208"/>
    </row>
    <row x14ac:dyDescent="0.25" r="116" customHeight="1" ht="19.5">
      <c r="A116" s="2"/>
      <c r="B116" s="208"/>
      <c r="C116" s="208"/>
      <c r="D116" s="2"/>
      <c r="E116" s="208"/>
      <c r="F116" s="296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  <c r="AX116" s="208"/>
      <c r="AY116" s="208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  <c r="CL116" s="208"/>
      <c r="CM116" s="208"/>
      <c r="CN116" s="208"/>
      <c r="CO116" s="208"/>
      <c r="CP116" s="208"/>
      <c r="CQ116" s="208"/>
      <c r="CR116" s="208"/>
      <c r="CS116" s="208"/>
      <c r="CT116" s="208"/>
      <c r="CU116" s="208"/>
      <c r="CV116" s="208"/>
      <c r="CW116" s="208"/>
      <c r="CX116" s="208"/>
      <c r="CY116" s="208"/>
      <c r="CZ116" s="208"/>
      <c r="DA116" s="208"/>
      <c r="DB116" s="208"/>
      <c r="DC116" s="208"/>
      <c r="DD116" s="208"/>
      <c r="DE116" s="208"/>
      <c r="DF116" s="208"/>
    </row>
    <row x14ac:dyDescent="0.25" r="117" customHeight="1" ht="19.5">
      <c r="A117" s="2"/>
      <c r="B117" s="208"/>
      <c r="C117" s="208"/>
      <c r="D117" s="2"/>
      <c r="E117" s="208"/>
      <c r="F117" s="296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  <c r="AX117" s="208"/>
      <c r="AY117" s="208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8"/>
      <c r="BQ117" s="208"/>
      <c r="BR117" s="208"/>
      <c r="BS117" s="208"/>
      <c r="BT117" s="208"/>
      <c r="BU117" s="208"/>
      <c r="BV117" s="208"/>
      <c r="BW117" s="208"/>
      <c r="BX117" s="208"/>
      <c r="BY117" s="208"/>
      <c r="BZ117" s="208"/>
      <c r="CA117" s="208"/>
      <c r="CB117" s="208"/>
      <c r="CC117" s="208"/>
      <c r="CD117" s="208"/>
      <c r="CE117" s="208"/>
      <c r="CF117" s="208"/>
      <c r="CG117" s="208"/>
      <c r="CH117" s="208"/>
      <c r="CI117" s="208"/>
      <c r="CJ117" s="208"/>
      <c r="CK117" s="208"/>
      <c r="CL117" s="208"/>
      <c r="CM117" s="208"/>
      <c r="CN117" s="208"/>
      <c r="CO117" s="208"/>
      <c r="CP117" s="208"/>
      <c r="CQ117" s="208"/>
      <c r="CR117" s="208"/>
      <c r="CS117" s="208"/>
      <c r="CT117" s="208"/>
      <c r="CU117" s="208"/>
      <c r="CV117" s="208"/>
      <c r="CW117" s="208"/>
      <c r="CX117" s="208"/>
      <c r="CY117" s="208"/>
      <c r="CZ117" s="208"/>
      <c r="DA117" s="208"/>
      <c r="DB117" s="208"/>
      <c r="DC117" s="208"/>
      <c r="DD117" s="208"/>
      <c r="DE117" s="208"/>
      <c r="DF117" s="208"/>
    </row>
    <row x14ac:dyDescent="0.25" r="118" customHeight="1" ht="19.5">
      <c r="A118" s="2"/>
      <c r="B118" s="208"/>
      <c r="C118" s="208"/>
      <c r="D118" s="2"/>
      <c r="E118" s="208"/>
      <c r="F118" s="296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8"/>
      <c r="BQ118" s="208"/>
      <c r="BR118" s="208"/>
      <c r="BS118" s="208"/>
      <c r="BT118" s="208"/>
      <c r="BU118" s="208"/>
      <c r="BV118" s="208"/>
      <c r="BW118" s="208"/>
      <c r="BX118" s="208"/>
      <c r="BY118" s="208"/>
      <c r="BZ118" s="208"/>
      <c r="CA118" s="208"/>
      <c r="CB118" s="208"/>
      <c r="CC118" s="208"/>
      <c r="CD118" s="208"/>
      <c r="CE118" s="208"/>
      <c r="CF118" s="208"/>
      <c r="CG118" s="208"/>
      <c r="CH118" s="208"/>
      <c r="CI118" s="208"/>
      <c r="CJ118" s="208"/>
      <c r="CK118" s="208"/>
      <c r="CL118" s="208"/>
      <c r="CM118" s="208"/>
      <c r="CN118" s="208"/>
      <c r="CO118" s="208"/>
      <c r="CP118" s="208"/>
      <c r="CQ118" s="208"/>
      <c r="CR118" s="208"/>
      <c r="CS118" s="208"/>
      <c r="CT118" s="208"/>
      <c r="CU118" s="208"/>
      <c r="CV118" s="208"/>
      <c r="CW118" s="208"/>
      <c r="CX118" s="208"/>
      <c r="CY118" s="208"/>
      <c r="CZ118" s="208"/>
      <c r="DA118" s="208"/>
      <c r="DB118" s="208"/>
      <c r="DC118" s="208"/>
      <c r="DD118" s="208"/>
      <c r="DE118" s="208"/>
      <c r="DF118" s="208"/>
    </row>
    <row x14ac:dyDescent="0.25" r="119" customHeight="1" ht="19.5">
      <c r="A119" s="2"/>
      <c r="B119" s="208"/>
      <c r="C119" s="208"/>
      <c r="D119" s="2"/>
      <c r="E119" s="208"/>
      <c r="F119" s="296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208"/>
      <c r="BJ119" s="208"/>
      <c r="BK119" s="208"/>
      <c r="BL119" s="208"/>
      <c r="BM119" s="208"/>
      <c r="BN119" s="208"/>
      <c r="BO119" s="208"/>
      <c r="BP119" s="208"/>
      <c r="BQ119" s="208"/>
      <c r="BR119" s="208"/>
      <c r="BS119" s="208"/>
      <c r="BT119" s="208"/>
      <c r="BU119" s="208"/>
      <c r="BV119" s="208"/>
      <c r="BW119" s="208"/>
      <c r="BX119" s="208"/>
      <c r="BY119" s="208"/>
      <c r="BZ119" s="208"/>
      <c r="CA119" s="208"/>
      <c r="CB119" s="208"/>
      <c r="CC119" s="208"/>
      <c r="CD119" s="208"/>
      <c r="CE119" s="208"/>
      <c r="CF119" s="208"/>
      <c r="CG119" s="208"/>
      <c r="CH119" s="208"/>
      <c r="CI119" s="208"/>
      <c r="CJ119" s="208"/>
      <c r="CK119" s="208"/>
      <c r="CL119" s="208"/>
      <c r="CM119" s="208"/>
      <c r="CN119" s="208"/>
      <c r="CO119" s="208"/>
      <c r="CP119" s="208"/>
      <c r="CQ119" s="208"/>
      <c r="CR119" s="208"/>
      <c r="CS119" s="208"/>
      <c r="CT119" s="208"/>
      <c r="CU119" s="208"/>
      <c r="CV119" s="208"/>
      <c r="CW119" s="208"/>
      <c r="CX119" s="208"/>
      <c r="CY119" s="208"/>
      <c r="CZ119" s="208"/>
      <c r="DA119" s="208"/>
      <c r="DB119" s="208"/>
      <c r="DC119" s="208"/>
      <c r="DD119" s="208"/>
      <c r="DE119" s="208"/>
      <c r="DF119" s="208"/>
    </row>
    <row x14ac:dyDescent="0.25" r="120" customHeight="1" ht="19.5">
      <c r="A120" s="2"/>
      <c r="B120" s="208"/>
      <c r="C120" s="208"/>
      <c r="D120" s="2"/>
      <c r="E120" s="208"/>
      <c r="F120" s="296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  <c r="CL120" s="208"/>
      <c r="CM120" s="208"/>
      <c r="CN120" s="208"/>
      <c r="CO120" s="208"/>
      <c r="CP120" s="208"/>
      <c r="CQ120" s="208"/>
      <c r="CR120" s="208"/>
      <c r="CS120" s="208"/>
      <c r="CT120" s="208"/>
      <c r="CU120" s="208"/>
      <c r="CV120" s="208"/>
      <c r="CW120" s="208"/>
      <c r="CX120" s="208"/>
      <c r="CY120" s="208"/>
      <c r="CZ120" s="208"/>
      <c r="DA120" s="208"/>
      <c r="DB120" s="208"/>
      <c r="DC120" s="208"/>
      <c r="DD120" s="208"/>
      <c r="DE120" s="208"/>
      <c r="DF120" s="208"/>
    </row>
    <row x14ac:dyDescent="0.25" r="121" customHeight="1" ht="19.5">
      <c r="A121" s="2"/>
      <c r="B121" s="208"/>
      <c r="C121" s="208"/>
      <c r="D121" s="2"/>
      <c r="E121" s="208"/>
      <c r="F121" s="296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208"/>
      <c r="BJ121" s="208"/>
      <c r="BK121" s="208"/>
      <c r="BL121" s="208"/>
      <c r="BM121" s="208"/>
      <c r="BN121" s="208"/>
      <c r="BO121" s="208"/>
      <c r="BP121" s="208"/>
      <c r="BQ121" s="208"/>
      <c r="BR121" s="208"/>
      <c r="BS121" s="208"/>
      <c r="BT121" s="208"/>
      <c r="BU121" s="208"/>
      <c r="BV121" s="208"/>
      <c r="BW121" s="208"/>
      <c r="BX121" s="208"/>
      <c r="BY121" s="208"/>
      <c r="BZ121" s="208"/>
      <c r="CA121" s="208"/>
      <c r="CB121" s="208"/>
      <c r="CC121" s="208"/>
      <c r="CD121" s="208"/>
      <c r="CE121" s="208"/>
      <c r="CF121" s="208"/>
      <c r="CG121" s="208"/>
      <c r="CH121" s="208"/>
      <c r="CI121" s="208"/>
      <c r="CJ121" s="208"/>
      <c r="CK121" s="208"/>
      <c r="CL121" s="208"/>
      <c r="CM121" s="208"/>
      <c r="CN121" s="208"/>
      <c r="CO121" s="208"/>
      <c r="CP121" s="208"/>
      <c r="CQ121" s="208"/>
      <c r="CR121" s="208"/>
      <c r="CS121" s="208"/>
      <c r="CT121" s="208"/>
      <c r="CU121" s="208"/>
      <c r="CV121" s="208"/>
      <c r="CW121" s="208"/>
      <c r="CX121" s="208"/>
      <c r="CY121" s="208"/>
      <c r="CZ121" s="208"/>
      <c r="DA121" s="208"/>
      <c r="DB121" s="208"/>
      <c r="DC121" s="208"/>
      <c r="DD121" s="208"/>
      <c r="DE121" s="208"/>
      <c r="DF121" s="208"/>
    </row>
    <row x14ac:dyDescent="0.25" r="122" customHeight="1" ht="19.5">
      <c r="A122" s="2"/>
      <c r="B122" s="208"/>
      <c r="C122" s="208"/>
      <c r="D122" s="2"/>
      <c r="E122" s="208"/>
      <c r="F122" s="296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208"/>
      <c r="BJ122" s="208"/>
      <c r="BK122" s="208"/>
      <c r="BL122" s="208"/>
      <c r="BM122" s="208"/>
      <c r="BN122" s="208"/>
      <c r="BO122" s="208"/>
      <c r="BP122" s="208"/>
      <c r="BQ122" s="208"/>
      <c r="BR122" s="208"/>
      <c r="BS122" s="208"/>
      <c r="BT122" s="208"/>
      <c r="BU122" s="208"/>
      <c r="BV122" s="208"/>
      <c r="BW122" s="208"/>
      <c r="BX122" s="208"/>
      <c r="BY122" s="208"/>
      <c r="BZ122" s="208"/>
      <c r="CA122" s="208"/>
      <c r="CB122" s="208"/>
      <c r="CC122" s="208"/>
      <c r="CD122" s="208"/>
      <c r="CE122" s="208"/>
      <c r="CF122" s="208"/>
      <c r="CG122" s="208"/>
      <c r="CH122" s="208"/>
      <c r="CI122" s="208"/>
      <c r="CJ122" s="208"/>
      <c r="CK122" s="208"/>
      <c r="CL122" s="208"/>
      <c r="CM122" s="208"/>
      <c r="CN122" s="208"/>
      <c r="CO122" s="208"/>
      <c r="CP122" s="208"/>
      <c r="CQ122" s="208"/>
      <c r="CR122" s="208"/>
      <c r="CS122" s="208"/>
      <c r="CT122" s="208"/>
      <c r="CU122" s="208"/>
      <c r="CV122" s="208"/>
      <c r="CW122" s="208"/>
      <c r="CX122" s="208"/>
      <c r="CY122" s="208"/>
      <c r="CZ122" s="208"/>
      <c r="DA122" s="208"/>
      <c r="DB122" s="208"/>
      <c r="DC122" s="208"/>
      <c r="DD122" s="208"/>
      <c r="DE122" s="208"/>
      <c r="DF122" s="208"/>
    </row>
    <row x14ac:dyDescent="0.25" r="123" customHeight="1" ht="19.5">
      <c r="A123" s="2"/>
      <c r="B123" s="208"/>
      <c r="C123" s="208"/>
      <c r="D123" s="2"/>
      <c r="E123" s="208"/>
      <c r="F123" s="296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208"/>
      <c r="BV123" s="208"/>
      <c r="BW123" s="208"/>
      <c r="BX123" s="208"/>
      <c r="BY123" s="208"/>
      <c r="BZ123" s="208"/>
      <c r="CA123" s="208"/>
      <c r="CB123" s="208"/>
      <c r="CC123" s="208"/>
      <c r="CD123" s="208"/>
      <c r="CE123" s="208"/>
      <c r="CF123" s="208"/>
      <c r="CG123" s="208"/>
      <c r="CH123" s="208"/>
      <c r="CI123" s="208"/>
      <c r="CJ123" s="208"/>
      <c r="CK123" s="208"/>
      <c r="CL123" s="208"/>
      <c r="CM123" s="208"/>
      <c r="CN123" s="208"/>
      <c r="CO123" s="208"/>
      <c r="CP123" s="208"/>
      <c r="CQ123" s="208"/>
      <c r="CR123" s="208"/>
      <c r="CS123" s="208"/>
      <c r="CT123" s="208"/>
      <c r="CU123" s="208"/>
      <c r="CV123" s="208"/>
      <c r="CW123" s="208"/>
      <c r="CX123" s="208"/>
      <c r="CY123" s="208"/>
      <c r="CZ123" s="208"/>
      <c r="DA123" s="208"/>
      <c r="DB123" s="208"/>
      <c r="DC123" s="208"/>
      <c r="DD123" s="208"/>
      <c r="DE123" s="208"/>
      <c r="DF123" s="208"/>
    </row>
    <row x14ac:dyDescent="0.25" r="124" customHeight="1" ht="19.5">
      <c r="A124" s="2"/>
      <c r="B124" s="208"/>
      <c r="C124" s="208"/>
      <c r="D124" s="2"/>
      <c r="E124" s="208"/>
      <c r="F124" s="296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"/>
      <c r="Y124" s="208"/>
      <c r="Z124" s="208"/>
      <c r="AA124" s="208"/>
      <c r="AB124" s="208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208"/>
      <c r="BT124" s="208"/>
      <c r="BU124" s="208"/>
      <c r="BV124" s="208"/>
      <c r="BW124" s="208"/>
      <c r="BX124" s="208"/>
      <c r="BY124" s="208"/>
      <c r="BZ124" s="208"/>
      <c r="CA124" s="208"/>
      <c r="CB124" s="208"/>
      <c r="CC124" s="208"/>
      <c r="CD124" s="208"/>
      <c r="CE124" s="208"/>
      <c r="CF124" s="208"/>
      <c r="CG124" s="208"/>
      <c r="CH124" s="208"/>
      <c r="CI124" s="208"/>
      <c r="CJ124" s="208"/>
      <c r="CK124" s="208"/>
      <c r="CL124" s="208"/>
      <c r="CM124" s="208"/>
      <c r="CN124" s="208"/>
      <c r="CO124" s="208"/>
      <c r="CP124" s="208"/>
      <c r="CQ124" s="208"/>
      <c r="CR124" s="208"/>
      <c r="CS124" s="208"/>
      <c r="CT124" s="208"/>
      <c r="CU124" s="208"/>
      <c r="CV124" s="208"/>
      <c r="CW124" s="208"/>
      <c r="CX124" s="208"/>
      <c r="CY124" s="208"/>
      <c r="CZ124" s="208"/>
      <c r="DA124" s="208"/>
      <c r="DB124" s="208"/>
      <c r="DC124" s="208"/>
      <c r="DD124" s="208"/>
      <c r="DE124" s="208"/>
      <c r="DF124" s="208"/>
    </row>
    <row x14ac:dyDescent="0.25" r="125" customHeight="1" ht="19.5">
      <c r="A125" s="2"/>
      <c r="B125" s="208"/>
      <c r="C125" s="208"/>
      <c r="D125" s="2"/>
      <c r="E125" s="208"/>
      <c r="F125" s="296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208"/>
      <c r="BJ125" s="208"/>
      <c r="BK125" s="208"/>
      <c r="BL125" s="208"/>
      <c r="BM125" s="208"/>
      <c r="BN125" s="208"/>
      <c r="BO125" s="208"/>
      <c r="BP125" s="208"/>
      <c r="BQ125" s="208"/>
      <c r="BR125" s="208"/>
      <c r="BS125" s="208"/>
      <c r="BT125" s="208"/>
      <c r="BU125" s="208"/>
      <c r="BV125" s="208"/>
      <c r="BW125" s="208"/>
      <c r="BX125" s="208"/>
      <c r="BY125" s="208"/>
      <c r="BZ125" s="208"/>
      <c r="CA125" s="208"/>
      <c r="CB125" s="208"/>
      <c r="CC125" s="208"/>
      <c r="CD125" s="208"/>
      <c r="CE125" s="208"/>
      <c r="CF125" s="208"/>
      <c r="CG125" s="208"/>
      <c r="CH125" s="208"/>
      <c r="CI125" s="208"/>
      <c r="CJ125" s="208"/>
      <c r="CK125" s="208"/>
      <c r="CL125" s="208"/>
      <c r="CM125" s="208"/>
      <c r="CN125" s="208"/>
      <c r="CO125" s="208"/>
      <c r="CP125" s="208"/>
      <c r="CQ125" s="208"/>
      <c r="CR125" s="208"/>
      <c r="CS125" s="208"/>
      <c r="CT125" s="208"/>
      <c r="CU125" s="208"/>
      <c r="CV125" s="208"/>
      <c r="CW125" s="208"/>
      <c r="CX125" s="208"/>
      <c r="CY125" s="208"/>
      <c r="CZ125" s="208"/>
      <c r="DA125" s="208"/>
      <c r="DB125" s="208"/>
      <c r="DC125" s="208"/>
      <c r="DD125" s="208"/>
      <c r="DE125" s="208"/>
      <c r="DF125" s="208"/>
    </row>
    <row x14ac:dyDescent="0.25" r="126" customHeight="1" ht="19.5">
      <c r="A126" s="2"/>
      <c r="B126" s="208"/>
      <c r="C126" s="208"/>
      <c r="D126" s="2"/>
      <c r="E126" s="208"/>
      <c r="F126" s="296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208"/>
      <c r="BJ126" s="208"/>
      <c r="BK126" s="208"/>
      <c r="BL126" s="208"/>
      <c r="BM126" s="208"/>
      <c r="BN126" s="208"/>
      <c r="BO126" s="208"/>
      <c r="BP126" s="208"/>
      <c r="BQ126" s="208"/>
      <c r="BR126" s="208"/>
      <c r="BS126" s="208"/>
      <c r="BT126" s="208"/>
      <c r="BU126" s="208"/>
      <c r="BV126" s="208"/>
      <c r="BW126" s="208"/>
      <c r="BX126" s="208"/>
      <c r="BY126" s="208"/>
      <c r="BZ126" s="208"/>
      <c r="CA126" s="208"/>
      <c r="CB126" s="208"/>
      <c r="CC126" s="208"/>
      <c r="CD126" s="208"/>
      <c r="CE126" s="208"/>
      <c r="CF126" s="208"/>
      <c r="CG126" s="208"/>
      <c r="CH126" s="208"/>
      <c r="CI126" s="208"/>
      <c r="CJ126" s="208"/>
      <c r="CK126" s="208"/>
      <c r="CL126" s="208"/>
      <c r="CM126" s="208"/>
      <c r="CN126" s="208"/>
      <c r="CO126" s="208"/>
      <c r="CP126" s="208"/>
      <c r="CQ126" s="208"/>
      <c r="CR126" s="208"/>
      <c r="CS126" s="208"/>
      <c r="CT126" s="208"/>
      <c r="CU126" s="208"/>
      <c r="CV126" s="208"/>
      <c r="CW126" s="208"/>
      <c r="CX126" s="208"/>
      <c r="CY126" s="208"/>
      <c r="CZ126" s="208"/>
      <c r="DA126" s="208"/>
      <c r="DB126" s="208"/>
      <c r="DC126" s="208"/>
      <c r="DD126" s="208"/>
      <c r="DE126" s="208"/>
      <c r="DF126" s="208"/>
    </row>
    <row x14ac:dyDescent="0.25" r="127" customHeight="1" ht="19.5">
      <c r="A127" s="2"/>
      <c r="B127" s="208"/>
      <c r="C127" s="208"/>
      <c r="D127" s="2"/>
      <c r="E127" s="208"/>
      <c r="F127" s="296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208"/>
      <c r="BJ127" s="208"/>
      <c r="BK127" s="208"/>
      <c r="BL127" s="208"/>
      <c r="BM127" s="208"/>
      <c r="BN127" s="208"/>
      <c r="BO127" s="208"/>
      <c r="BP127" s="208"/>
      <c r="BQ127" s="208"/>
      <c r="BR127" s="208"/>
      <c r="BS127" s="208"/>
      <c r="BT127" s="208"/>
      <c r="BU127" s="208"/>
      <c r="BV127" s="208"/>
      <c r="BW127" s="208"/>
      <c r="BX127" s="208"/>
      <c r="BY127" s="208"/>
      <c r="BZ127" s="208"/>
      <c r="CA127" s="208"/>
      <c r="CB127" s="208"/>
      <c r="CC127" s="208"/>
      <c r="CD127" s="208"/>
      <c r="CE127" s="208"/>
      <c r="CF127" s="208"/>
      <c r="CG127" s="208"/>
      <c r="CH127" s="208"/>
      <c r="CI127" s="208"/>
      <c r="CJ127" s="208"/>
      <c r="CK127" s="208"/>
      <c r="CL127" s="208"/>
      <c r="CM127" s="208"/>
      <c r="CN127" s="208"/>
      <c r="CO127" s="208"/>
      <c r="CP127" s="208"/>
      <c r="CQ127" s="208"/>
      <c r="CR127" s="208"/>
      <c r="CS127" s="208"/>
      <c r="CT127" s="208"/>
      <c r="CU127" s="208"/>
      <c r="CV127" s="208"/>
      <c r="CW127" s="208"/>
      <c r="CX127" s="208"/>
      <c r="CY127" s="208"/>
      <c r="CZ127" s="208"/>
      <c r="DA127" s="208"/>
      <c r="DB127" s="208"/>
      <c r="DC127" s="208"/>
      <c r="DD127" s="208"/>
      <c r="DE127" s="208"/>
      <c r="DF127" s="208"/>
    </row>
    <row x14ac:dyDescent="0.25" r="128" customHeight="1" ht="19.5">
      <c r="A128" s="2"/>
      <c r="B128" s="208"/>
      <c r="C128" s="208"/>
      <c r="D128" s="2"/>
      <c r="E128" s="208"/>
      <c r="F128" s="296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Q128" s="208"/>
      <c r="AR128" s="208"/>
      <c r="AS128" s="208"/>
      <c r="AT128" s="208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  <c r="CL128" s="208"/>
      <c r="CM128" s="208"/>
      <c r="CN128" s="208"/>
      <c r="CO128" s="208"/>
      <c r="CP128" s="208"/>
      <c r="CQ128" s="208"/>
      <c r="CR128" s="208"/>
      <c r="CS128" s="208"/>
      <c r="CT128" s="208"/>
      <c r="CU128" s="208"/>
      <c r="CV128" s="208"/>
      <c r="CW128" s="208"/>
      <c r="CX128" s="208"/>
      <c r="CY128" s="208"/>
      <c r="CZ128" s="208"/>
      <c r="DA128" s="208"/>
      <c r="DB128" s="208"/>
      <c r="DC128" s="208"/>
      <c r="DD128" s="208"/>
      <c r="DE128" s="208"/>
      <c r="DF128" s="208"/>
    </row>
    <row x14ac:dyDescent="0.25" r="129" customHeight="1" ht="19.5">
      <c r="A129" s="2"/>
      <c r="B129" s="208"/>
      <c r="C129" s="208"/>
      <c r="D129" s="2"/>
      <c r="E129" s="208"/>
      <c r="F129" s="296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  <c r="AS129" s="208"/>
      <c r="AT129" s="208"/>
      <c r="AU129" s="208"/>
      <c r="AV129" s="208"/>
      <c r="AW129" s="208"/>
      <c r="AX129" s="208"/>
      <c r="AY129" s="208"/>
      <c r="AZ129" s="208"/>
      <c r="BA129" s="208"/>
      <c r="BB129" s="208"/>
      <c r="BC129" s="208"/>
      <c r="BD129" s="208"/>
      <c r="BE129" s="208"/>
      <c r="BF129" s="208"/>
      <c r="BG129" s="208"/>
      <c r="BH129" s="208"/>
      <c r="BI129" s="208"/>
      <c r="BJ129" s="208"/>
      <c r="BK129" s="208"/>
      <c r="BL129" s="208"/>
      <c r="BM129" s="208"/>
      <c r="BN129" s="208"/>
      <c r="BO129" s="208"/>
      <c r="BP129" s="208"/>
      <c r="BQ129" s="208"/>
      <c r="BR129" s="208"/>
      <c r="BS129" s="208"/>
      <c r="BT129" s="208"/>
      <c r="BU129" s="208"/>
      <c r="BV129" s="208"/>
      <c r="BW129" s="208"/>
      <c r="BX129" s="208"/>
      <c r="BY129" s="208"/>
      <c r="BZ129" s="208"/>
      <c r="CA129" s="208"/>
      <c r="CB129" s="208"/>
      <c r="CC129" s="208"/>
      <c r="CD129" s="208"/>
      <c r="CE129" s="208"/>
      <c r="CF129" s="208"/>
      <c r="CG129" s="208"/>
      <c r="CH129" s="208"/>
      <c r="CI129" s="208"/>
      <c r="CJ129" s="208"/>
      <c r="CK129" s="208"/>
      <c r="CL129" s="208"/>
      <c r="CM129" s="208"/>
      <c r="CN129" s="208"/>
      <c r="CO129" s="208"/>
      <c r="CP129" s="208"/>
      <c r="CQ129" s="208"/>
      <c r="CR129" s="208"/>
      <c r="CS129" s="208"/>
      <c r="CT129" s="208"/>
      <c r="CU129" s="208"/>
      <c r="CV129" s="208"/>
      <c r="CW129" s="208"/>
      <c r="CX129" s="208"/>
      <c r="CY129" s="208"/>
      <c r="CZ129" s="208"/>
      <c r="DA129" s="208"/>
      <c r="DB129" s="208"/>
      <c r="DC129" s="208"/>
      <c r="DD129" s="208"/>
      <c r="DE129" s="208"/>
      <c r="DF129" s="208"/>
    </row>
    <row x14ac:dyDescent="0.25" r="130" customHeight="1" ht="19.5">
      <c r="A130" s="2"/>
      <c r="B130" s="208"/>
      <c r="C130" s="208"/>
      <c r="D130" s="2"/>
      <c r="E130" s="208"/>
      <c r="F130" s="296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208"/>
      <c r="BE130" s="208"/>
      <c r="BF130" s="208"/>
      <c r="BG130" s="208"/>
      <c r="BH130" s="208"/>
      <c r="BI130" s="208"/>
      <c r="BJ130" s="208"/>
      <c r="BK130" s="208"/>
      <c r="BL130" s="208"/>
      <c r="BM130" s="208"/>
      <c r="BN130" s="208"/>
      <c r="BO130" s="208"/>
      <c r="BP130" s="208"/>
      <c r="BQ130" s="208"/>
      <c r="BR130" s="208"/>
      <c r="BS130" s="208"/>
      <c r="BT130" s="208"/>
      <c r="BU130" s="208"/>
      <c r="BV130" s="208"/>
      <c r="BW130" s="208"/>
      <c r="BX130" s="208"/>
      <c r="BY130" s="208"/>
      <c r="BZ130" s="208"/>
      <c r="CA130" s="208"/>
      <c r="CB130" s="208"/>
      <c r="CC130" s="208"/>
      <c r="CD130" s="208"/>
      <c r="CE130" s="208"/>
      <c r="CF130" s="208"/>
      <c r="CG130" s="208"/>
      <c r="CH130" s="208"/>
      <c r="CI130" s="208"/>
      <c r="CJ130" s="208"/>
      <c r="CK130" s="208"/>
      <c r="CL130" s="208"/>
      <c r="CM130" s="208"/>
      <c r="CN130" s="208"/>
      <c r="CO130" s="208"/>
      <c r="CP130" s="208"/>
      <c r="CQ130" s="208"/>
      <c r="CR130" s="208"/>
      <c r="CS130" s="208"/>
      <c r="CT130" s="208"/>
      <c r="CU130" s="208"/>
      <c r="CV130" s="208"/>
      <c r="CW130" s="208"/>
      <c r="CX130" s="208"/>
      <c r="CY130" s="208"/>
      <c r="CZ130" s="208"/>
      <c r="DA130" s="208"/>
      <c r="DB130" s="208"/>
      <c r="DC130" s="208"/>
      <c r="DD130" s="208"/>
      <c r="DE130" s="208"/>
      <c r="DF130" s="208"/>
    </row>
    <row x14ac:dyDescent="0.25" r="131" customHeight="1" ht="19.5">
      <c r="A131" s="2"/>
      <c r="B131" s="208"/>
      <c r="C131" s="208"/>
      <c r="D131" s="2"/>
      <c r="E131" s="208"/>
      <c r="F131" s="296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"/>
      <c r="Y131" s="208"/>
      <c r="Z131" s="208"/>
      <c r="AA131" s="208"/>
      <c r="AB131" s="208"/>
      <c r="AC131" s="208"/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08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208"/>
      <c r="BJ131" s="208"/>
      <c r="BK131" s="208"/>
      <c r="BL131" s="208"/>
      <c r="BM131" s="208"/>
      <c r="BN131" s="208"/>
      <c r="BO131" s="208"/>
      <c r="BP131" s="208"/>
      <c r="BQ131" s="208"/>
      <c r="BR131" s="208"/>
      <c r="BS131" s="208"/>
      <c r="BT131" s="208"/>
      <c r="BU131" s="208"/>
      <c r="BV131" s="208"/>
      <c r="BW131" s="208"/>
      <c r="BX131" s="208"/>
      <c r="BY131" s="208"/>
      <c r="BZ131" s="208"/>
      <c r="CA131" s="208"/>
      <c r="CB131" s="208"/>
      <c r="CC131" s="208"/>
      <c r="CD131" s="208"/>
      <c r="CE131" s="208"/>
      <c r="CF131" s="208"/>
      <c r="CG131" s="208"/>
      <c r="CH131" s="208"/>
      <c r="CI131" s="208"/>
      <c r="CJ131" s="208"/>
      <c r="CK131" s="208"/>
      <c r="CL131" s="208"/>
      <c r="CM131" s="208"/>
      <c r="CN131" s="208"/>
      <c r="CO131" s="208"/>
      <c r="CP131" s="208"/>
      <c r="CQ131" s="208"/>
      <c r="CR131" s="208"/>
      <c r="CS131" s="208"/>
      <c r="CT131" s="208"/>
      <c r="CU131" s="208"/>
      <c r="CV131" s="208"/>
      <c r="CW131" s="208"/>
      <c r="CX131" s="208"/>
      <c r="CY131" s="208"/>
      <c r="CZ131" s="208"/>
      <c r="DA131" s="208"/>
      <c r="DB131" s="208"/>
      <c r="DC131" s="208"/>
      <c r="DD131" s="208"/>
      <c r="DE131" s="208"/>
      <c r="DF131" s="208"/>
    </row>
    <row x14ac:dyDescent="0.25" r="132" customHeight="1" ht="19.5">
      <c r="A132" s="2"/>
      <c r="B132" s="208"/>
      <c r="C132" s="208"/>
      <c r="D132" s="2"/>
      <c r="E132" s="208"/>
      <c r="F132" s="296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8"/>
      <c r="AT132" s="208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208"/>
      <c r="BT132" s="208"/>
      <c r="BU132" s="208"/>
      <c r="BV132" s="208"/>
      <c r="BW132" s="208"/>
      <c r="BX132" s="208"/>
      <c r="BY132" s="208"/>
      <c r="BZ132" s="208"/>
      <c r="CA132" s="208"/>
      <c r="CB132" s="208"/>
      <c r="CC132" s="208"/>
      <c r="CD132" s="208"/>
      <c r="CE132" s="208"/>
      <c r="CF132" s="208"/>
      <c r="CG132" s="208"/>
      <c r="CH132" s="208"/>
      <c r="CI132" s="208"/>
      <c r="CJ132" s="208"/>
      <c r="CK132" s="208"/>
      <c r="CL132" s="208"/>
      <c r="CM132" s="208"/>
      <c r="CN132" s="208"/>
      <c r="CO132" s="208"/>
      <c r="CP132" s="208"/>
      <c r="CQ132" s="208"/>
      <c r="CR132" s="208"/>
      <c r="CS132" s="208"/>
      <c r="CT132" s="208"/>
      <c r="CU132" s="208"/>
      <c r="CV132" s="208"/>
      <c r="CW132" s="208"/>
      <c r="CX132" s="208"/>
      <c r="CY132" s="208"/>
      <c r="CZ132" s="208"/>
      <c r="DA132" s="208"/>
      <c r="DB132" s="208"/>
      <c r="DC132" s="208"/>
      <c r="DD132" s="208"/>
      <c r="DE132" s="208"/>
      <c r="DF132" s="208"/>
    </row>
    <row x14ac:dyDescent="0.25" r="133" customHeight="1" ht="19.5">
      <c r="A133" s="2"/>
      <c r="B133" s="208"/>
      <c r="C133" s="208"/>
      <c r="D133" s="2"/>
      <c r="E133" s="208"/>
      <c r="F133" s="296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208"/>
      <c r="BJ133" s="208"/>
      <c r="BK133" s="208"/>
      <c r="BL133" s="208"/>
      <c r="BM133" s="208"/>
      <c r="BN133" s="208"/>
      <c r="BO133" s="208"/>
      <c r="BP133" s="208"/>
      <c r="BQ133" s="208"/>
      <c r="BR133" s="208"/>
      <c r="BS133" s="208"/>
      <c r="BT133" s="208"/>
      <c r="BU133" s="208"/>
      <c r="BV133" s="208"/>
      <c r="BW133" s="208"/>
      <c r="BX133" s="208"/>
      <c r="BY133" s="208"/>
      <c r="BZ133" s="208"/>
      <c r="CA133" s="208"/>
      <c r="CB133" s="208"/>
      <c r="CC133" s="208"/>
      <c r="CD133" s="208"/>
      <c r="CE133" s="208"/>
      <c r="CF133" s="208"/>
      <c r="CG133" s="208"/>
      <c r="CH133" s="208"/>
      <c r="CI133" s="208"/>
      <c r="CJ133" s="208"/>
      <c r="CK133" s="208"/>
      <c r="CL133" s="208"/>
      <c r="CM133" s="208"/>
      <c r="CN133" s="208"/>
      <c r="CO133" s="208"/>
      <c r="CP133" s="208"/>
      <c r="CQ133" s="208"/>
      <c r="CR133" s="208"/>
      <c r="CS133" s="208"/>
      <c r="CT133" s="208"/>
      <c r="CU133" s="208"/>
      <c r="CV133" s="208"/>
      <c r="CW133" s="208"/>
      <c r="CX133" s="208"/>
      <c r="CY133" s="208"/>
      <c r="CZ133" s="208"/>
      <c r="DA133" s="208"/>
      <c r="DB133" s="208"/>
      <c r="DC133" s="208"/>
      <c r="DD133" s="208"/>
      <c r="DE133" s="208"/>
      <c r="DF133" s="208"/>
    </row>
    <row x14ac:dyDescent="0.25" r="134" customHeight="1" ht="19.5">
      <c r="A134" s="2"/>
      <c r="B134" s="208"/>
      <c r="C134" s="208"/>
      <c r="D134" s="2"/>
      <c r="E134" s="208"/>
      <c r="F134" s="296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8"/>
      <c r="BN134" s="208"/>
      <c r="BO134" s="208"/>
      <c r="BP134" s="208"/>
      <c r="BQ134" s="208"/>
      <c r="BR134" s="208"/>
      <c r="BS134" s="208"/>
      <c r="BT134" s="208"/>
      <c r="BU134" s="208"/>
      <c r="BV134" s="208"/>
      <c r="BW134" s="208"/>
      <c r="BX134" s="208"/>
      <c r="BY134" s="208"/>
      <c r="BZ134" s="208"/>
      <c r="CA134" s="208"/>
      <c r="CB134" s="208"/>
      <c r="CC134" s="208"/>
      <c r="CD134" s="208"/>
      <c r="CE134" s="208"/>
      <c r="CF134" s="208"/>
      <c r="CG134" s="208"/>
      <c r="CH134" s="208"/>
      <c r="CI134" s="208"/>
      <c r="CJ134" s="208"/>
      <c r="CK134" s="208"/>
      <c r="CL134" s="208"/>
      <c r="CM134" s="208"/>
      <c r="CN134" s="208"/>
      <c r="CO134" s="208"/>
      <c r="CP134" s="208"/>
      <c r="CQ134" s="208"/>
      <c r="CR134" s="208"/>
      <c r="CS134" s="208"/>
      <c r="CT134" s="208"/>
      <c r="CU134" s="208"/>
      <c r="CV134" s="208"/>
      <c r="CW134" s="208"/>
      <c r="CX134" s="208"/>
      <c r="CY134" s="208"/>
      <c r="CZ134" s="208"/>
      <c r="DA134" s="208"/>
      <c r="DB134" s="208"/>
      <c r="DC134" s="208"/>
      <c r="DD134" s="208"/>
      <c r="DE134" s="208"/>
      <c r="DF134" s="208"/>
    </row>
    <row x14ac:dyDescent="0.25" r="135" customHeight="1" ht="19.5">
      <c r="A135" s="2"/>
      <c r="B135" s="208"/>
      <c r="C135" s="208"/>
      <c r="D135" s="2"/>
      <c r="E135" s="208"/>
      <c r="F135" s="296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8"/>
      <c r="BN135" s="208"/>
      <c r="BO135" s="208"/>
      <c r="BP135" s="208"/>
      <c r="BQ135" s="208"/>
      <c r="BR135" s="208"/>
      <c r="BS135" s="208"/>
      <c r="BT135" s="208"/>
      <c r="BU135" s="208"/>
      <c r="BV135" s="208"/>
      <c r="BW135" s="208"/>
      <c r="BX135" s="208"/>
      <c r="BY135" s="208"/>
      <c r="BZ135" s="208"/>
      <c r="CA135" s="208"/>
      <c r="CB135" s="208"/>
      <c r="CC135" s="208"/>
      <c r="CD135" s="208"/>
      <c r="CE135" s="208"/>
      <c r="CF135" s="208"/>
      <c r="CG135" s="208"/>
      <c r="CH135" s="208"/>
      <c r="CI135" s="208"/>
      <c r="CJ135" s="208"/>
      <c r="CK135" s="208"/>
      <c r="CL135" s="208"/>
      <c r="CM135" s="208"/>
      <c r="CN135" s="208"/>
      <c r="CO135" s="208"/>
      <c r="CP135" s="208"/>
      <c r="CQ135" s="208"/>
      <c r="CR135" s="208"/>
      <c r="CS135" s="208"/>
      <c r="CT135" s="208"/>
      <c r="CU135" s="208"/>
      <c r="CV135" s="208"/>
      <c r="CW135" s="208"/>
      <c r="CX135" s="208"/>
      <c r="CY135" s="208"/>
      <c r="CZ135" s="208"/>
      <c r="DA135" s="208"/>
      <c r="DB135" s="208"/>
      <c r="DC135" s="208"/>
      <c r="DD135" s="208"/>
      <c r="DE135" s="208"/>
      <c r="DF135" s="208"/>
    </row>
    <row x14ac:dyDescent="0.25" r="136" customHeight="1" ht="19.5">
      <c r="A136" s="2"/>
      <c r="B136" s="208"/>
      <c r="C136" s="208"/>
      <c r="D136" s="2"/>
      <c r="E136" s="208"/>
      <c r="F136" s="296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  <c r="CL136" s="208"/>
      <c r="CM136" s="208"/>
      <c r="CN136" s="208"/>
      <c r="CO136" s="208"/>
      <c r="CP136" s="208"/>
      <c r="CQ136" s="208"/>
      <c r="CR136" s="208"/>
      <c r="CS136" s="208"/>
      <c r="CT136" s="208"/>
      <c r="CU136" s="208"/>
      <c r="CV136" s="208"/>
      <c r="CW136" s="208"/>
      <c r="CX136" s="208"/>
      <c r="CY136" s="208"/>
      <c r="CZ136" s="208"/>
      <c r="DA136" s="208"/>
      <c r="DB136" s="208"/>
      <c r="DC136" s="208"/>
      <c r="DD136" s="208"/>
      <c r="DE136" s="208"/>
      <c r="DF136" s="208"/>
    </row>
    <row x14ac:dyDescent="0.25" r="137" customHeight="1" ht="19.5">
      <c r="A137" s="2"/>
      <c r="B137" s="208"/>
      <c r="C137" s="208"/>
      <c r="D137" s="2"/>
      <c r="E137" s="208"/>
      <c r="F137" s="296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208"/>
      <c r="BI137" s="208"/>
      <c r="BJ137" s="208"/>
      <c r="BK137" s="208"/>
      <c r="BL137" s="208"/>
      <c r="BM137" s="208"/>
      <c r="BN137" s="208"/>
      <c r="BO137" s="208"/>
      <c r="BP137" s="208"/>
      <c r="BQ137" s="208"/>
      <c r="BR137" s="208"/>
      <c r="BS137" s="208"/>
      <c r="BT137" s="208"/>
      <c r="BU137" s="208"/>
      <c r="BV137" s="208"/>
      <c r="BW137" s="208"/>
      <c r="BX137" s="208"/>
      <c r="BY137" s="208"/>
      <c r="BZ137" s="208"/>
      <c r="CA137" s="208"/>
      <c r="CB137" s="208"/>
      <c r="CC137" s="208"/>
      <c r="CD137" s="208"/>
      <c r="CE137" s="208"/>
      <c r="CF137" s="208"/>
      <c r="CG137" s="208"/>
      <c r="CH137" s="208"/>
      <c r="CI137" s="208"/>
      <c r="CJ137" s="208"/>
      <c r="CK137" s="208"/>
      <c r="CL137" s="208"/>
      <c r="CM137" s="208"/>
      <c r="CN137" s="208"/>
      <c r="CO137" s="208"/>
      <c r="CP137" s="208"/>
      <c r="CQ137" s="208"/>
      <c r="CR137" s="208"/>
      <c r="CS137" s="208"/>
      <c r="CT137" s="208"/>
      <c r="CU137" s="208"/>
      <c r="CV137" s="208"/>
      <c r="CW137" s="208"/>
      <c r="CX137" s="208"/>
      <c r="CY137" s="208"/>
      <c r="CZ137" s="208"/>
      <c r="DA137" s="208"/>
      <c r="DB137" s="208"/>
      <c r="DC137" s="208"/>
      <c r="DD137" s="208"/>
      <c r="DE137" s="208"/>
      <c r="DF137" s="208"/>
    </row>
    <row x14ac:dyDescent="0.25" r="138" customHeight="1" ht="19.5">
      <c r="A138" s="2"/>
      <c r="B138" s="208"/>
      <c r="C138" s="208"/>
      <c r="D138" s="2"/>
      <c r="E138" s="208"/>
      <c r="F138" s="296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208"/>
      <c r="BJ138" s="208"/>
      <c r="BK138" s="208"/>
      <c r="BL138" s="208"/>
      <c r="BM138" s="208"/>
      <c r="BN138" s="208"/>
      <c r="BO138" s="208"/>
      <c r="BP138" s="208"/>
      <c r="BQ138" s="208"/>
      <c r="BR138" s="208"/>
      <c r="BS138" s="208"/>
      <c r="BT138" s="208"/>
      <c r="BU138" s="208"/>
      <c r="BV138" s="208"/>
      <c r="BW138" s="208"/>
      <c r="BX138" s="208"/>
      <c r="BY138" s="208"/>
      <c r="BZ138" s="208"/>
      <c r="CA138" s="208"/>
      <c r="CB138" s="208"/>
      <c r="CC138" s="208"/>
      <c r="CD138" s="208"/>
      <c r="CE138" s="208"/>
      <c r="CF138" s="208"/>
      <c r="CG138" s="208"/>
      <c r="CH138" s="208"/>
      <c r="CI138" s="208"/>
      <c r="CJ138" s="208"/>
      <c r="CK138" s="208"/>
      <c r="CL138" s="208"/>
      <c r="CM138" s="208"/>
      <c r="CN138" s="208"/>
      <c r="CO138" s="208"/>
      <c r="CP138" s="208"/>
      <c r="CQ138" s="208"/>
      <c r="CR138" s="208"/>
      <c r="CS138" s="208"/>
      <c r="CT138" s="208"/>
      <c r="CU138" s="208"/>
      <c r="CV138" s="208"/>
      <c r="CW138" s="208"/>
      <c r="CX138" s="208"/>
      <c r="CY138" s="208"/>
      <c r="CZ138" s="208"/>
      <c r="DA138" s="208"/>
      <c r="DB138" s="208"/>
      <c r="DC138" s="208"/>
      <c r="DD138" s="208"/>
      <c r="DE138" s="208"/>
      <c r="DF138" s="208"/>
    </row>
    <row x14ac:dyDescent="0.25" r="139" customHeight="1" ht="19.5">
      <c r="A139" s="2"/>
      <c r="B139" s="208"/>
      <c r="C139" s="208"/>
      <c r="D139" s="2"/>
      <c r="E139" s="208"/>
      <c r="F139" s="296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208"/>
      <c r="BK139" s="208"/>
      <c r="BL139" s="208"/>
      <c r="BM139" s="208"/>
      <c r="BN139" s="208"/>
      <c r="BO139" s="208"/>
      <c r="BP139" s="208"/>
      <c r="BQ139" s="208"/>
      <c r="BR139" s="208"/>
      <c r="BS139" s="208"/>
      <c r="BT139" s="208"/>
      <c r="BU139" s="208"/>
      <c r="BV139" s="208"/>
      <c r="BW139" s="208"/>
      <c r="BX139" s="208"/>
      <c r="BY139" s="208"/>
      <c r="BZ139" s="208"/>
      <c r="CA139" s="208"/>
      <c r="CB139" s="208"/>
      <c r="CC139" s="208"/>
      <c r="CD139" s="208"/>
      <c r="CE139" s="208"/>
      <c r="CF139" s="208"/>
      <c r="CG139" s="208"/>
      <c r="CH139" s="208"/>
      <c r="CI139" s="208"/>
      <c r="CJ139" s="208"/>
      <c r="CK139" s="208"/>
      <c r="CL139" s="208"/>
      <c r="CM139" s="208"/>
      <c r="CN139" s="208"/>
      <c r="CO139" s="208"/>
      <c r="CP139" s="208"/>
      <c r="CQ139" s="208"/>
      <c r="CR139" s="208"/>
      <c r="CS139" s="208"/>
      <c r="CT139" s="208"/>
      <c r="CU139" s="208"/>
      <c r="CV139" s="208"/>
      <c r="CW139" s="208"/>
      <c r="CX139" s="208"/>
      <c r="CY139" s="208"/>
      <c r="CZ139" s="208"/>
      <c r="DA139" s="208"/>
      <c r="DB139" s="208"/>
      <c r="DC139" s="208"/>
      <c r="DD139" s="208"/>
      <c r="DE139" s="208"/>
      <c r="DF139" s="208"/>
    </row>
    <row x14ac:dyDescent="0.25" r="140" customHeight="1" ht="19.5">
      <c r="A140" s="2"/>
      <c r="B140" s="208"/>
      <c r="C140" s="208"/>
      <c r="D140" s="2"/>
      <c r="E140" s="208"/>
      <c r="F140" s="296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208"/>
      <c r="BT140" s="208"/>
      <c r="BU140" s="208"/>
      <c r="BV140" s="208"/>
      <c r="BW140" s="208"/>
      <c r="BX140" s="208"/>
      <c r="BY140" s="208"/>
      <c r="BZ140" s="208"/>
      <c r="CA140" s="208"/>
      <c r="CB140" s="208"/>
      <c r="CC140" s="208"/>
      <c r="CD140" s="208"/>
      <c r="CE140" s="208"/>
      <c r="CF140" s="208"/>
      <c r="CG140" s="208"/>
      <c r="CH140" s="208"/>
      <c r="CI140" s="208"/>
      <c r="CJ140" s="208"/>
      <c r="CK140" s="208"/>
      <c r="CL140" s="208"/>
      <c r="CM140" s="208"/>
      <c r="CN140" s="208"/>
      <c r="CO140" s="208"/>
      <c r="CP140" s="208"/>
      <c r="CQ140" s="208"/>
      <c r="CR140" s="208"/>
      <c r="CS140" s="208"/>
      <c r="CT140" s="208"/>
      <c r="CU140" s="208"/>
      <c r="CV140" s="208"/>
      <c r="CW140" s="208"/>
      <c r="CX140" s="208"/>
      <c r="CY140" s="208"/>
      <c r="CZ140" s="208"/>
      <c r="DA140" s="208"/>
      <c r="DB140" s="208"/>
      <c r="DC140" s="208"/>
      <c r="DD140" s="208"/>
      <c r="DE140" s="208"/>
      <c r="DF140" s="208"/>
    </row>
    <row x14ac:dyDescent="0.25" r="141" customHeight="1" ht="19.5">
      <c r="A141" s="2"/>
      <c r="B141" s="208"/>
      <c r="C141" s="208"/>
      <c r="D141" s="2"/>
      <c r="E141" s="208"/>
      <c r="F141" s="296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208"/>
      <c r="BI141" s="208"/>
      <c r="BJ141" s="208"/>
      <c r="BK141" s="208"/>
      <c r="BL141" s="208"/>
      <c r="BM141" s="208"/>
      <c r="BN141" s="208"/>
      <c r="BO141" s="208"/>
      <c r="BP141" s="208"/>
      <c r="BQ141" s="208"/>
      <c r="BR141" s="208"/>
      <c r="BS141" s="208"/>
      <c r="BT141" s="208"/>
      <c r="BU141" s="208"/>
      <c r="BV141" s="208"/>
      <c r="BW141" s="208"/>
      <c r="BX141" s="208"/>
      <c r="BY141" s="208"/>
      <c r="BZ141" s="208"/>
      <c r="CA141" s="208"/>
      <c r="CB141" s="208"/>
      <c r="CC141" s="208"/>
      <c r="CD141" s="208"/>
      <c r="CE141" s="208"/>
      <c r="CF141" s="208"/>
      <c r="CG141" s="208"/>
      <c r="CH141" s="208"/>
      <c r="CI141" s="208"/>
      <c r="CJ141" s="208"/>
      <c r="CK141" s="208"/>
      <c r="CL141" s="208"/>
      <c r="CM141" s="208"/>
      <c r="CN141" s="208"/>
      <c r="CO141" s="208"/>
      <c r="CP141" s="208"/>
      <c r="CQ141" s="208"/>
      <c r="CR141" s="208"/>
      <c r="CS141" s="208"/>
      <c r="CT141" s="208"/>
      <c r="CU141" s="208"/>
      <c r="CV141" s="208"/>
      <c r="CW141" s="208"/>
      <c r="CX141" s="208"/>
      <c r="CY141" s="208"/>
      <c r="CZ141" s="208"/>
      <c r="DA141" s="208"/>
      <c r="DB141" s="208"/>
      <c r="DC141" s="208"/>
      <c r="DD141" s="208"/>
      <c r="DE141" s="208"/>
      <c r="DF141" s="208"/>
    </row>
    <row x14ac:dyDescent="0.25" r="142" customHeight="1" ht="19.5">
      <c r="A142" s="2"/>
      <c r="B142" s="208"/>
      <c r="C142" s="208"/>
      <c r="D142" s="2"/>
      <c r="E142" s="208"/>
      <c r="F142" s="296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208"/>
      <c r="BN142" s="208"/>
      <c r="BO142" s="208"/>
      <c r="BP142" s="208"/>
      <c r="BQ142" s="208"/>
      <c r="BR142" s="208"/>
      <c r="BS142" s="208"/>
      <c r="BT142" s="208"/>
      <c r="BU142" s="208"/>
      <c r="BV142" s="208"/>
      <c r="BW142" s="208"/>
      <c r="BX142" s="208"/>
      <c r="BY142" s="208"/>
      <c r="BZ142" s="208"/>
      <c r="CA142" s="208"/>
      <c r="CB142" s="208"/>
      <c r="CC142" s="208"/>
      <c r="CD142" s="208"/>
      <c r="CE142" s="208"/>
      <c r="CF142" s="208"/>
      <c r="CG142" s="208"/>
      <c r="CH142" s="208"/>
      <c r="CI142" s="208"/>
      <c r="CJ142" s="208"/>
      <c r="CK142" s="208"/>
      <c r="CL142" s="208"/>
      <c r="CM142" s="208"/>
      <c r="CN142" s="208"/>
      <c r="CO142" s="208"/>
      <c r="CP142" s="208"/>
      <c r="CQ142" s="208"/>
      <c r="CR142" s="208"/>
      <c r="CS142" s="208"/>
      <c r="CT142" s="208"/>
      <c r="CU142" s="208"/>
      <c r="CV142" s="208"/>
      <c r="CW142" s="208"/>
      <c r="CX142" s="208"/>
      <c r="CY142" s="208"/>
      <c r="CZ142" s="208"/>
      <c r="DA142" s="208"/>
      <c r="DB142" s="208"/>
      <c r="DC142" s="208"/>
      <c r="DD142" s="208"/>
      <c r="DE142" s="208"/>
      <c r="DF142" s="208"/>
    </row>
    <row x14ac:dyDescent="0.25" r="143" customHeight="1" ht="19.5">
      <c r="A143" s="2"/>
      <c r="B143" s="208"/>
      <c r="C143" s="208"/>
      <c r="D143" s="2"/>
      <c r="E143" s="208"/>
      <c r="F143" s="296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208"/>
      <c r="BN143" s="208"/>
      <c r="BO143" s="208"/>
      <c r="BP143" s="208"/>
      <c r="BQ143" s="208"/>
      <c r="BR143" s="208"/>
      <c r="BS143" s="208"/>
      <c r="BT143" s="208"/>
      <c r="BU143" s="208"/>
      <c r="BV143" s="208"/>
      <c r="BW143" s="208"/>
      <c r="BX143" s="208"/>
      <c r="BY143" s="208"/>
      <c r="BZ143" s="208"/>
      <c r="CA143" s="208"/>
      <c r="CB143" s="208"/>
      <c r="CC143" s="208"/>
      <c r="CD143" s="208"/>
      <c r="CE143" s="208"/>
      <c r="CF143" s="208"/>
      <c r="CG143" s="208"/>
      <c r="CH143" s="208"/>
      <c r="CI143" s="208"/>
      <c r="CJ143" s="208"/>
      <c r="CK143" s="208"/>
      <c r="CL143" s="208"/>
      <c r="CM143" s="208"/>
      <c r="CN143" s="208"/>
      <c r="CO143" s="208"/>
      <c r="CP143" s="208"/>
      <c r="CQ143" s="208"/>
      <c r="CR143" s="208"/>
      <c r="CS143" s="208"/>
      <c r="CT143" s="208"/>
      <c r="CU143" s="208"/>
      <c r="CV143" s="208"/>
      <c r="CW143" s="208"/>
      <c r="CX143" s="208"/>
      <c r="CY143" s="208"/>
      <c r="CZ143" s="208"/>
      <c r="DA143" s="208"/>
      <c r="DB143" s="208"/>
      <c r="DC143" s="208"/>
      <c r="DD143" s="208"/>
      <c r="DE143" s="208"/>
      <c r="DF143" s="208"/>
    </row>
    <row x14ac:dyDescent="0.25" r="144" customHeight="1" ht="19.5">
      <c r="A144" s="2"/>
      <c r="B144" s="208"/>
      <c r="C144" s="208"/>
      <c r="D144" s="2"/>
      <c r="E144" s="208"/>
      <c r="F144" s="296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  <c r="CL144" s="208"/>
      <c r="CM144" s="208"/>
      <c r="CN144" s="208"/>
      <c r="CO144" s="208"/>
      <c r="CP144" s="208"/>
      <c r="CQ144" s="208"/>
      <c r="CR144" s="208"/>
      <c r="CS144" s="208"/>
      <c r="CT144" s="208"/>
      <c r="CU144" s="208"/>
      <c r="CV144" s="208"/>
      <c r="CW144" s="208"/>
      <c r="CX144" s="208"/>
      <c r="CY144" s="208"/>
      <c r="CZ144" s="208"/>
      <c r="DA144" s="208"/>
      <c r="DB144" s="208"/>
      <c r="DC144" s="208"/>
      <c r="DD144" s="208"/>
      <c r="DE144" s="208"/>
      <c r="DF144" s="208"/>
    </row>
    <row x14ac:dyDescent="0.25" r="145" customHeight="1" ht="19.5">
      <c r="A145" s="2"/>
      <c r="B145" s="208"/>
      <c r="C145" s="208"/>
      <c r="D145" s="2"/>
      <c r="E145" s="208"/>
      <c r="F145" s="296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"/>
      <c r="Y145" s="208"/>
      <c r="Z145" s="208"/>
      <c r="AA145" s="208"/>
      <c r="AB145" s="208"/>
      <c r="AC145" s="208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  <c r="AX145" s="208"/>
      <c r="AY145" s="208"/>
      <c r="AZ145" s="208"/>
      <c r="BA145" s="208"/>
      <c r="BB145" s="208"/>
      <c r="BC145" s="208"/>
      <c r="BD145" s="208"/>
      <c r="BE145" s="208"/>
      <c r="BF145" s="208"/>
      <c r="BG145" s="208"/>
      <c r="BH145" s="208"/>
      <c r="BI145" s="208"/>
      <c r="BJ145" s="208"/>
      <c r="BK145" s="208"/>
      <c r="BL145" s="208"/>
      <c r="BM145" s="208"/>
      <c r="BN145" s="208"/>
      <c r="BO145" s="208"/>
      <c r="BP145" s="208"/>
      <c r="BQ145" s="208"/>
      <c r="BR145" s="208"/>
      <c r="BS145" s="208"/>
      <c r="BT145" s="208"/>
      <c r="BU145" s="208"/>
      <c r="BV145" s="208"/>
      <c r="BW145" s="208"/>
      <c r="BX145" s="208"/>
      <c r="BY145" s="208"/>
      <c r="BZ145" s="208"/>
      <c r="CA145" s="208"/>
      <c r="CB145" s="208"/>
      <c r="CC145" s="208"/>
      <c r="CD145" s="208"/>
      <c r="CE145" s="208"/>
      <c r="CF145" s="208"/>
      <c r="CG145" s="208"/>
      <c r="CH145" s="208"/>
      <c r="CI145" s="208"/>
      <c r="CJ145" s="208"/>
      <c r="CK145" s="208"/>
      <c r="CL145" s="208"/>
      <c r="CM145" s="208"/>
      <c r="CN145" s="208"/>
      <c r="CO145" s="208"/>
      <c r="CP145" s="208"/>
      <c r="CQ145" s="208"/>
      <c r="CR145" s="208"/>
      <c r="CS145" s="208"/>
      <c r="CT145" s="208"/>
      <c r="CU145" s="208"/>
      <c r="CV145" s="208"/>
      <c r="CW145" s="208"/>
      <c r="CX145" s="208"/>
      <c r="CY145" s="208"/>
      <c r="CZ145" s="208"/>
      <c r="DA145" s="208"/>
      <c r="DB145" s="208"/>
      <c r="DC145" s="208"/>
      <c r="DD145" s="208"/>
      <c r="DE145" s="208"/>
      <c r="DF145" s="208"/>
    </row>
    <row x14ac:dyDescent="0.25" r="146" customHeight="1" ht="19.5">
      <c r="A146" s="2"/>
      <c r="B146" s="208"/>
      <c r="C146" s="208"/>
      <c r="D146" s="2"/>
      <c r="E146" s="208"/>
      <c r="F146" s="296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208"/>
      <c r="BE146" s="208"/>
      <c r="BF146" s="208"/>
      <c r="BG146" s="208"/>
      <c r="BH146" s="208"/>
      <c r="BI146" s="208"/>
      <c r="BJ146" s="208"/>
      <c r="BK146" s="208"/>
      <c r="BL146" s="208"/>
      <c r="BM146" s="208"/>
      <c r="BN146" s="208"/>
      <c r="BO146" s="208"/>
      <c r="BP146" s="208"/>
      <c r="BQ146" s="208"/>
      <c r="BR146" s="208"/>
      <c r="BS146" s="208"/>
      <c r="BT146" s="208"/>
      <c r="BU146" s="208"/>
      <c r="BV146" s="208"/>
      <c r="BW146" s="208"/>
      <c r="BX146" s="208"/>
      <c r="BY146" s="208"/>
      <c r="BZ146" s="208"/>
      <c r="CA146" s="208"/>
      <c r="CB146" s="208"/>
      <c r="CC146" s="208"/>
      <c r="CD146" s="208"/>
      <c r="CE146" s="208"/>
      <c r="CF146" s="208"/>
      <c r="CG146" s="208"/>
      <c r="CH146" s="208"/>
      <c r="CI146" s="208"/>
      <c r="CJ146" s="208"/>
      <c r="CK146" s="208"/>
      <c r="CL146" s="208"/>
      <c r="CM146" s="208"/>
      <c r="CN146" s="208"/>
      <c r="CO146" s="208"/>
      <c r="CP146" s="208"/>
      <c r="CQ146" s="208"/>
      <c r="CR146" s="208"/>
      <c r="CS146" s="208"/>
      <c r="CT146" s="208"/>
      <c r="CU146" s="208"/>
      <c r="CV146" s="208"/>
      <c r="CW146" s="208"/>
      <c r="CX146" s="208"/>
      <c r="CY146" s="208"/>
      <c r="CZ146" s="208"/>
      <c r="DA146" s="208"/>
      <c r="DB146" s="208"/>
      <c r="DC146" s="208"/>
      <c r="DD146" s="208"/>
      <c r="DE146" s="208"/>
      <c r="DF146" s="208"/>
    </row>
    <row x14ac:dyDescent="0.25" r="147" customHeight="1" ht="19.5">
      <c r="A147" s="2"/>
      <c r="B147" s="208"/>
      <c r="C147" s="208"/>
      <c r="D147" s="2"/>
      <c r="E147" s="208"/>
      <c r="F147" s="296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208"/>
      <c r="BJ147" s="208"/>
      <c r="BK147" s="208"/>
      <c r="BL147" s="208"/>
      <c r="BM147" s="208"/>
      <c r="BN147" s="208"/>
      <c r="BO147" s="208"/>
      <c r="BP147" s="208"/>
      <c r="BQ147" s="208"/>
      <c r="BR147" s="208"/>
      <c r="BS147" s="208"/>
      <c r="BT147" s="208"/>
      <c r="BU147" s="208"/>
      <c r="BV147" s="208"/>
      <c r="BW147" s="208"/>
      <c r="BX147" s="208"/>
      <c r="BY147" s="208"/>
      <c r="BZ147" s="208"/>
      <c r="CA147" s="208"/>
      <c r="CB147" s="208"/>
      <c r="CC147" s="208"/>
      <c r="CD147" s="208"/>
      <c r="CE147" s="208"/>
      <c r="CF147" s="208"/>
      <c r="CG147" s="208"/>
      <c r="CH147" s="208"/>
      <c r="CI147" s="208"/>
      <c r="CJ147" s="208"/>
      <c r="CK147" s="208"/>
      <c r="CL147" s="208"/>
      <c r="CM147" s="208"/>
      <c r="CN147" s="208"/>
      <c r="CO147" s="208"/>
      <c r="CP147" s="208"/>
      <c r="CQ147" s="208"/>
      <c r="CR147" s="208"/>
      <c r="CS147" s="208"/>
      <c r="CT147" s="208"/>
      <c r="CU147" s="208"/>
      <c r="CV147" s="208"/>
      <c r="CW147" s="208"/>
      <c r="CX147" s="208"/>
      <c r="CY147" s="208"/>
      <c r="CZ147" s="208"/>
      <c r="DA147" s="208"/>
      <c r="DB147" s="208"/>
      <c r="DC147" s="208"/>
      <c r="DD147" s="208"/>
      <c r="DE147" s="208"/>
      <c r="DF147" s="208"/>
    </row>
    <row x14ac:dyDescent="0.25" r="148" customHeight="1" ht="19.5">
      <c r="A148" s="2"/>
      <c r="B148" s="208"/>
      <c r="C148" s="208"/>
      <c r="D148" s="2"/>
      <c r="E148" s="208"/>
      <c r="F148" s="296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BX148" s="208"/>
      <c r="BY148" s="208"/>
      <c r="BZ148" s="208"/>
      <c r="CA148" s="208"/>
      <c r="CB148" s="208"/>
      <c r="CC148" s="208"/>
      <c r="CD148" s="208"/>
      <c r="CE148" s="208"/>
      <c r="CF148" s="208"/>
      <c r="CG148" s="208"/>
      <c r="CH148" s="208"/>
      <c r="CI148" s="208"/>
      <c r="CJ148" s="208"/>
      <c r="CK148" s="208"/>
      <c r="CL148" s="208"/>
      <c r="CM148" s="208"/>
      <c r="CN148" s="208"/>
      <c r="CO148" s="208"/>
      <c r="CP148" s="208"/>
      <c r="CQ148" s="208"/>
      <c r="CR148" s="208"/>
      <c r="CS148" s="208"/>
      <c r="CT148" s="208"/>
      <c r="CU148" s="208"/>
      <c r="CV148" s="208"/>
      <c r="CW148" s="208"/>
      <c r="CX148" s="208"/>
      <c r="CY148" s="208"/>
      <c r="CZ148" s="208"/>
      <c r="DA148" s="208"/>
      <c r="DB148" s="208"/>
      <c r="DC148" s="208"/>
      <c r="DD148" s="208"/>
      <c r="DE148" s="208"/>
      <c r="DF148" s="208"/>
    </row>
    <row x14ac:dyDescent="0.25" r="149" customHeight="1" ht="19.5">
      <c r="A149" s="2"/>
      <c r="B149" s="208"/>
      <c r="C149" s="208"/>
      <c r="D149" s="2"/>
      <c r="E149" s="208"/>
      <c r="F149" s="296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8"/>
      <c r="BN149" s="208"/>
      <c r="BO149" s="208"/>
      <c r="BP149" s="208"/>
      <c r="BQ149" s="208"/>
      <c r="BR149" s="208"/>
      <c r="BS149" s="208"/>
      <c r="BT149" s="208"/>
      <c r="BU149" s="208"/>
      <c r="BV149" s="208"/>
      <c r="BW149" s="208"/>
      <c r="BX149" s="208"/>
      <c r="BY149" s="208"/>
      <c r="BZ149" s="208"/>
      <c r="CA149" s="208"/>
      <c r="CB149" s="208"/>
      <c r="CC149" s="208"/>
      <c r="CD149" s="208"/>
      <c r="CE149" s="208"/>
      <c r="CF149" s="208"/>
      <c r="CG149" s="208"/>
      <c r="CH149" s="208"/>
      <c r="CI149" s="208"/>
      <c r="CJ149" s="208"/>
      <c r="CK149" s="208"/>
      <c r="CL149" s="208"/>
      <c r="CM149" s="208"/>
      <c r="CN149" s="208"/>
      <c r="CO149" s="208"/>
      <c r="CP149" s="208"/>
      <c r="CQ149" s="208"/>
      <c r="CR149" s="208"/>
      <c r="CS149" s="208"/>
      <c r="CT149" s="208"/>
      <c r="CU149" s="208"/>
      <c r="CV149" s="208"/>
      <c r="CW149" s="208"/>
      <c r="CX149" s="208"/>
      <c r="CY149" s="208"/>
      <c r="CZ149" s="208"/>
      <c r="DA149" s="208"/>
      <c r="DB149" s="208"/>
      <c r="DC149" s="208"/>
      <c r="DD149" s="208"/>
      <c r="DE149" s="208"/>
      <c r="DF149" s="208"/>
    </row>
    <row x14ac:dyDescent="0.25" r="150" customHeight="1" ht="19.5">
      <c r="A150" s="2"/>
      <c r="B150" s="208"/>
      <c r="C150" s="208"/>
      <c r="D150" s="2"/>
      <c r="E150" s="208"/>
      <c r="F150" s="296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208"/>
      <c r="BJ150" s="208"/>
      <c r="BK150" s="208"/>
      <c r="BL150" s="208"/>
      <c r="BM150" s="208"/>
      <c r="BN150" s="208"/>
      <c r="BO150" s="208"/>
      <c r="BP150" s="208"/>
      <c r="BQ150" s="208"/>
      <c r="BR150" s="208"/>
      <c r="BS150" s="208"/>
      <c r="BT150" s="208"/>
      <c r="BU150" s="208"/>
      <c r="BV150" s="208"/>
      <c r="BW150" s="208"/>
      <c r="BX150" s="208"/>
      <c r="BY150" s="208"/>
      <c r="BZ150" s="208"/>
      <c r="CA150" s="208"/>
      <c r="CB150" s="208"/>
      <c r="CC150" s="208"/>
      <c r="CD150" s="208"/>
      <c r="CE150" s="208"/>
      <c r="CF150" s="208"/>
      <c r="CG150" s="208"/>
      <c r="CH150" s="208"/>
      <c r="CI150" s="208"/>
      <c r="CJ150" s="208"/>
      <c r="CK150" s="208"/>
      <c r="CL150" s="208"/>
      <c r="CM150" s="208"/>
      <c r="CN150" s="208"/>
      <c r="CO150" s="208"/>
      <c r="CP150" s="208"/>
      <c r="CQ150" s="208"/>
      <c r="CR150" s="208"/>
      <c r="CS150" s="208"/>
      <c r="CT150" s="208"/>
      <c r="CU150" s="208"/>
      <c r="CV150" s="208"/>
      <c r="CW150" s="208"/>
      <c r="CX150" s="208"/>
      <c r="CY150" s="208"/>
      <c r="CZ150" s="208"/>
      <c r="DA150" s="208"/>
      <c r="DB150" s="208"/>
      <c r="DC150" s="208"/>
      <c r="DD150" s="208"/>
      <c r="DE150" s="208"/>
      <c r="DF150" s="208"/>
    </row>
    <row x14ac:dyDescent="0.25" r="151" customHeight="1" ht="19.5">
      <c r="A151" s="2"/>
      <c r="B151" s="208"/>
      <c r="C151" s="208"/>
      <c r="D151" s="2"/>
      <c r="E151" s="208"/>
      <c r="F151" s="296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208"/>
      <c r="BT151" s="208"/>
      <c r="BU151" s="208"/>
      <c r="BV151" s="208"/>
      <c r="BW151" s="208"/>
      <c r="BX151" s="208"/>
      <c r="BY151" s="208"/>
      <c r="BZ151" s="208"/>
      <c r="CA151" s="208"/>
      <c r="CB151" s="208"/>
      <c r="CC151" s="208"/>
      <c r="CD151" s="208"/>
      <c r="CE151" s="208"/>
      <c r="CF151" s="208"/>
      <c r="CG151" s="208"/>
      <c r="CH151" s="208"/>
      <c r="CI151" s="208"/>
      <c r="CJ151" s="208"/>
      <c r="CK151" s="208"/>
      <c r="CL151" s="208"/>
      <c r="CM151" s="208"/>
      <c r="CN151" s="208"/>
      <c r="CO151" s="208"/>
      <c r="CP151" s="208"/>
      <c r="CQ151" s="208"/>
      <c r="CR151" s="208"/>
      <c r="CS151" s="208"/>
      <c r="CT151" s="208"/>
      <c r="CU151" s="208"/>
      <c r="CV151" s="208"/>
      <c r="CW151" s="208"/>
      <c r="CX151" s="208"/>
      <c r="CY151" s="208"/>
      <c r="CZ151" s="208"/>
      <c r="DA151" s="208"/>
      <c r="DB151" s="208"/>
      <c r="DC151" s="208"/>
      <c r="DD151" s="208"/>
      <c r="DE151" s="208"/>
      <c r="DF151" s="208"/>
    </row>
    <row x14ac:dyDescent="0.25" r="152" customHeight="1" ht="19.5">
      <c r="A152" s="2"/>
      <c r="B152" s="208"/>
      <c r="C152" s="208"/>
      <c r="D152" s="2"/>
      <c r="E152" s="208"/>
      <c r="F152" s="296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  <c r="CL152" s="208"/>
      <c r="CM152" s="208"/>
      <c r="CN152" s="208"/>
      <c r="CO152" s="208"/>
      <c r="CP152" s="208"/>
      <c r="CQ152" s="208"/>
      <c r="CR152" s="208"/>
      <c r="CS152" s="208"/>
      <c r="CT152" s="208"/>
      <c r="CU152" s="208"/>
      <c r="CV152" s="208"/>
      <c r="CW152" s="208"/>
      <c r="CX152" s="208"/>
      <c r="CY152" s="208"/>
      <c r="CZ152" s="208"/>
      <c r="DA152" s="208"/>
      <c r="DB152" s="208"/>
      <c r="DC152" s="208"/>
      <c r="DD152" s="208"/>
      <c r="DE152" s="208"/>
      <c r="DF152" s="208"/>
    </row>
    <row x14ac:dyDescent="0.25" r="153" customHeight="1" ht="19.5">
      <c r="A153" s="2"/>
      <c r="B153" s="208"/>
      <c r="C153" s="208"/>
      <c r="D153" s="2"/>
      <c r="E153" s="208"/>
      <c r="F153" s="296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8"/>
      <c r="AT153" s="208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208"/>
      <c r="BJ153" s="208"/>
      <c r="BK153" s="208"/>
      <c r="BL153" s="208"/>
      <c r="BM153" s="208"/>
      <c r="BN153" s="208"/>
      <c r="BO153" s="208"/>
      <c r="BP153" s="208"/>
      <c r="BQ153" s="208"/>
      <c r="BR153" s="208"/>
      <c r="BS153" s="208"/>
      <c r="BT153" s="208"/>
      <c r="BU153" s="208"/>
      <c r="BV153" s="208"/>
      <c r="BW153" s="208"/>
      <c r="BX153" s="208"/>
      <c r="BY153" s="208"/>
      <c r="BZ153" s="208"/>
      <c r="CA153" s="208"/>
      <c r="CB153" s="208"/>
      <c r="CC153" s="208"/>
      <c r="CD153" s="208"/>
      <c r="CE153" s="208"/>
      <c r="CF153" s="208"/>
      <c r="CG153" s="208"/>
      <c r="CH153" s="208"/>
      <c r="CI153" s="208"/>
      <c r="CJ153" s="208"/>
      <c r="CK153" s="208"/>
      <c r="CL153" s="208"/>
      <c r="CM153" s="208"/>
      <c r="CN153" s="208"/>
      <c r="CO153" s="208"/>
      <c r="CP153" s="208"/>
      <c r="CQ153" s="208"/>
      <c r="CR153" s="208"/>
      <c r="CS153" s="208"/>
      <c r="CT153" s="208"/>
      <c r="CU153" s="208"/>
      <c r="CV153" s="208"/>
      <c r="CW153" s="208"/>
      <c r="CX153" s="208"/>
      <c r="CY153" s="208"/>
      <c r="CZ153" s="208"/>
      <c r="DA153" s="208"/>
      <c r="DB153" s="208"/>
      <c r="DC153" s="208"/>
      <c r="DD153" s="208"/>
      <c r="DE153" s="208"/>
      <c r="DF153" s="208"/>
    </row>
    <row x14ac:dyDescent="0.25" r="154" customHeight="1" ht="19.5">
      <c r="A154" s="2"/>
      <c r="B154" s="208"/>
      <c r="C154" s="208"/>
      <c r="D154" s="2"/>
      <c r="E154" s="208"/>
      <c r="F154" s="296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208"/>
      <c r="BJ154" s="208"/>
      <c r="BK154" s="208"/>
      <c r="BL154" s="208"/>
      <c r="BM154" s="208"/>
      <c r="BN154" s="208"/>
      <c r="BO154" s="208"/>
      <c r="BP154" s="208"/>
      <c r="BQ154" s="208"/>
      <c r="BR154" s="208"/>
      <c r="BS154" s="208"/>
      <c r="BT154" s="208"/>
      <c r="BU154" s="208"/>
      <c r="BV154" s="208"/>
      <c r="BW154" s="208"/>
      <c r="BX154" s="208"/>
      <c r="BY154" s="208"/>
      <c r="BZ154" s="208"/>
      <c r="CA154" s="208"/>
      <c r="CB154" s="208"/>
      <c r="CC154" s="208"/>
      <c r="CD154" s="208"/>
      <c r="CE154" s="208"/>
      <c r="CF154" s="208"/>
      <c r="CG154" s="208"/>
      <c r="CH154" s="208"/>
      <c r="CI154" s="208"/>
      <c r="CJ154" s="208"/>
      <c r="CK154" s="208"/>
      <c r="CL154" s="208"/>
      <c r="CM154" s="208"/>
      <c r="CN154" s="208"/>
      <c r="CO154" s="208"/>
      <c r="CP154" s="208"/>
      <c r="CQ154" s="208"/>
      <c r="CR154" s="208"/>
      <c r="CS154" s="208"/>
      <c r="CT154" s="208"/>
      <c r="CU154" s="208"/>
      <c r="CV154" s="208"/>
      <c r="CW154" s="208"/>
      <c r="CX154" s="208"/>
      <c r="CY154" s="208"/>
      <c r="CZ154" s="208"/>
      <c r="DA154" s="208"/>
      <c r="DB154" s="208"/>
      <c r="DC154" s="208"/>
      <c r="DD154" s="208"/>
      <c r="DE154" s="208"/>
      <c r="DF154" s="208"/>
    </row>
    <row x14ac:dyDescent="0.25" r="155" customHeight="1" ht="19.5">
      <c r="A155" s="2"/>
      <c r="B155" s="208"/>
      <c r="C155" s="208"/>
      <c r="D155" s="2"/>
      <c r="E155" s="208"/>
      <c r="F155" s="296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208"/>
      <c r="BJ155" s="208"/>
      <c r="BK155" s="208"/>
      <c r="BL155" s="208"/>
      <c r="BM155" s="208"/>
      <c r="BN155" s="208"/>
      <c r="BO155" s="208"/>
      <c r="BP155" s="208"/>
      <c r="BQ155" s="208"/>
      <c r="BR155" s="208"/>
      <c r="BS155" s="208"/>
      <c r="BT155" s="208"/>
      <c r="BU155" s="208"/>
      <c r="BV155" s="208"/>
      <c r="BW155" s="208"/>
      <c r="BX155" s="208"/>
      <c r="BY155" s="208"/>
      <c r="BZ155" s="208"/>
      <c r="CA155" s="208"/>
      <c r="CB155" s="208"/>
      <c r="CC155" s="208"/>
      <c r="CD155" s="208"/>
      <c r="CE155" s="208"/>
      <c r="CF155" s="208"/>
      <c r="CG155" s="208"/>
      <c r="CH155" s="208"/>
      <c r="CI155" s="208"/>
      <c r="CJ155" s="208"/>
      <c r="CK155" s="208"/>
      <c r="CL155" s="208"/>
      <c r="CM155" s="208"/>
      <c r="CN155" s="208"/>
      <c r="CO155" s="208"/>
      <c r="CP155" s="208"/>
      <c r="CQ155" s="208"/>
      <c r="CR155" s="208"/>
      <c r="CS155" s="208"/>
      <c r="CT155" s="208"/>
      <c r="CU155" s="208"/>
      <c r="CV155" s="208"/>
      <c r="CW155" s="208"/>
      <c r="CX155" s="208"/>
      <c r="CY155" s="208"/>
      <c r="CZ155" s="208"/>
      <c r="DA155" s="208"/>
      <c r="DB155" s="208"/>
      <c r="DC155" s="208"/>
      <c r="DD155" s="208"/>
      <c r="DE155" s="208"/>
      <c r="DF155" s="208"/>
    </row>
    <row x14ac:dyDescent="0.25" r="156" customHeight="1" ht="19.5">
      <c r="A156" s="2"/>
      <c r="B156" s="208"/>
      <c r="C156" s="208"/>
      <c r="D156" s="2"/>
      <c r="E156" s="208"/>
      <c r="F156" s="296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208"/>
      <c r="BT156" s="208"/>
      <c r="BU156" s="208"/>
      <c r="BV156" s="208"/>
      <c r="BW156" s="208"/>
      <c r="BX156" s="208"/>
      <c r="BY156" s="208"/>
      <c r="BZ156" s="208"/>
      <c r="CA156" s="208"/>
      <c r="CB156" s="208"/>
      <c r="CC156" s="208"/>
      <c r="CD156" s="208"/>
      <c r="CE156" s="208"/>
      <c r="CF156" s="208"/>
      <c r="CG156" s="208"/>
      <c r="CH156" s="208"/>
      <c r="CI156" s="208"/>
      <c r="CJ156" s="208"/>
      <c r="CK156" s="208"/>
      <c r="CL156" s="208"/>
      <c r="CM156" s="208"/>
      <c r="CN156" s="208"/>
      <c r="CO156" s="208"/>
      <c r="CP156" s="208"/>
      <c r="CQ156" s="208"/>
      <c r="CR156" s="208"/>
      <c r="CS156" s="208"/>
      <c r="CT156" s="208"/>
      <c r="CU156" s="208"/>
      <c r="CV156" s="208"/>
      <c r="CW156" s="208"/>
      <c r="CX156" s="208"/>
      <c r="CY156" s="208"/>
      <c r="CZ156" s="208"/>
      <c r="DA156" s="208"/>
      <c r="DB156" s="208"/>
      <c r="DC156" s="208"/>
      <c r="DD156" s="208"/>
      <c r="DE156" s="208"/>
      <c r="DF156" s="208"/>
    </row>
    <row x14ac:dyDescent="0.25" r="157" customHeight="1" ht="19.5">
      <c r="A157" s="2"/>
      <c r="B157" s="208"/>
      <c r="C157" s="208"/>
      <c r="D157" s="2"/>
      <c r="E157" s="208"/>
      <c r="F157" s="296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8"/>
      <c r="AT157" s="208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208"/>
      <c r="BJ157" s="208"/>
      <c r="BK157" s="208"/>
      <c r="BL157" s="208"/>
      <c r="BM157" s="208"/>
      <c r="BN157" s="208"/>
      <c r="BO157" s="208"/>
      <c r="BP157" s="208"/>
      <c r="BQ157" s="208"/>
      <c r="BR157" s="208"/>
      <c r="BS157" s="208"/>
      <c r="BT157" s="208"/>
      <c r="BU157" s="208"/>
      <c r="BV157" s="208"/>
      <c r="BW157" s="208"/>
      <c r="BX157" s="208"/>
      <c r="BY157" s="208"/>
      <c r="BZ157" s="208"/>
      <c r="CA157" s="208"/>
      <c r="CB157" s="208"/>
      <c r="CC157" s="208"/>
      <c r="CD157" s="208"/>
      <c r="CE157" s="208"/>
      <c r="CF157" s="208"/>
      <c r="CG157" s="208"/>
      <c r="CH157" s="208"/>
      <c r="CI157" s="208"/>
      <c r="CJ157" s="208"/>
      <c r="CK157" s="208"/>
      <c r="CL157" s="208"/>
      <c r="CM157" s="208"/>
      <c r="CN157" s="208"/>
      <c r="CO157" s="208"/>
      <c r="CP157" s="208"/>
      <c r="CQ157" s="208"/>
      <c r="CR157" s="208"/>
      <c r="CS157" s="208"/>
      <c r="CT157" s="208"/>
      <c r="CU157" s="208"/>
      <c r="CV157" s="208"/>
      <c r="CW157" s="208"/>
      <c r="CX157" s="208"/>
      <c r="CY157" s="208"/>
      <c r="CZ157" s="208"/>
      <c r="DA157" s="208"/>
      <c r="DB157" s="208"/>
      <c r="DC157" s="208"/>
      <c r="DD157" s="208"/>
      <c r="DE157" s="208"/>
      <c r="DF157" s="208"/>
    </row>
    <row x14ac:dyDescent="0.25" r="158" customHeight="1" ht="19.5">
      <c r="A158" s="2"/>
      <c r="B158" s="208"/>
      <c r="C158" s="208"/>
      <c r="D158" s="2"/>
      <c r="E158" s="208"/>
      <c r="F158" s="296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08"/>
      <c r="AT158" s="208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208"/>
      <c r="BT158" s="208"/>
      <c r="BU158" s="208"/>
      <c r="BV158" s="208"/>
      <c r="BW158" s="208"/>
      <c r="BX158" s="208"/>
      <c r="BY158" s="208"/>
      <c r="BZ158" s="208"/>
      <c r="CA158" s="208"/>
      <c r="CB158" s="208"/>
      <c r="CC158" s="208"/>
      <c r="CD158" s="208"/>
      <c r="CE158" s="208"/>
      <c r="CF158" s="208"/>
      <c r="CG158" s="208"/>
      <c r="CH158" s="208"/>
      <c r="CI158" s="208"/>
      <c r="CJ158" s="208"/>
      <c r="CK158" s="208"/>
      <c r="CL158" s="208"/>
      <c r="CM158" s="208"/>
      <c r="CN158" s="208"/>
      <c r="CO158" s="208"/>
      <c r="CP158" s="208"/>
      <c r="CQ158" s="208"/>
      <c r="CR158" s="208"/>
      <c r="CS158" s="208"/>
      <c r="CT158" s="208"/>
      <c r="CU158" s="208"/>
      <c r="CV158" s="208"/>
      <c r="CW158" s="208"/>
      <c r="CX158" s="208"/>
      <c r="CY158" s="208"/>
      <c r="CZ158" s="208"/>
      <c r="DA158" s="208"/>
      <c r="DB158" s="208"/>
      <c r="DC158" s="208"/>
      <c r="DD158" s="208"/>
      <c r="DE158" s="208"/>
      <c r="DF158" s="208"/>
    </row>
    <row x14ac:dyDescent="0.25" r="159" customHeight="1" ht="19.5">
      <c r="A159" s="2"/>
      <c r="B159" s="208"/>
      <c r="C159" s="208"/>
      <c r="D159" s="2"/>
      <c r="E159" s="208"/>
      <c r="F159" s="296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08"/>
      <c r="AT159" s="208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208"/>
      <c r="BJ159" s="208"/>
      <c r="BK159" s="208"/>
      <c r="BL159" s="208"/>
      <c r="BM159" s="208"/>
      <c r="BN159" s="208"/>
      <c r="BO159" s="208"/>
      <c r="BP159" s="208"/>
      <c r="BQ159" s="208"/>
      <c r="BR159" s="208"/>
      <c r="BS159" s="208"/>
      <c r="BT159" s="208"/>
      <c r="BU159" s="208"/>
      <c r="BV159" s="208"/>
      <c r="BW159" s="208"/>
      <c r="BX159" s="208"/>
      <c r="BY159" s="208"/>
      <c r="BZ159" s="208"/>
      <c r="CA159" s="208"/>
      <c r="CB159" s="208"/>
      <c r="CC159" s="208"/>
      <c r="CD159" s="208"/>
      <c r="CE159" s="208"/>
      <c r="CF159" s="208"/>
      <c r="CG159" s="208"/>
      <c r="CH159" s="208"/>
      <c r="CI159" s="208"/>
      <c r="CJ159" s="208"/>
      <c r="CK159" s="208"/>
      <c r="CL159" s="208"/>
      <c r="CM159" s="208"/>
      <c r="CN159" s="208"/>
      <c r="CO159" s="208"/>
      <c r="CP159" s="208"/>
      <c r="CQ159" s="208"/>
      <c r="CR159" s="208"/>
      <c r="CS159" s="208"/>
      <c r="CT159" s="208"/>
      <c r="CU159" s="208"/>
      <c r="CV159" s="208"/>
      <c r="CW159" s="208"/>
      <c r="CX159" s="208"/>
      <c r="CY159" s="208"/>
      <c r="CZ159" s="208"/>
      <c r="DA159" s="208"/>
      <c r="DB159" s="208"/>
      <c r="DC159" s="208"/>
      <c r="DD159" s="208"/>
      <c r="DE159" s="208"/>
      <c r="DF159" s="208"/>
    </row>
    <row x14ac:dyDescent="0.25" r="160" customHeight="1" ht="19.5">
      <c r="A160" s="2"/>
      <c r="B160" s="208"/>
      <c r="C160" s="208"/>
      <c r="D160" s="2"/>
      <c r="E160" s="208"/>
      <c r="F160" s="296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  <c r="CL160" s="208"/>
      <c r="CM160" s="208"/>
      <c r="CN160" s="208"/>
      <c r="CO160" s="208"/>
      <c r="CP160" s="208"/>
      <c r="CQ160" s="208"/>
      <c r="CR160" s="208"/>
      <c r="CS160" s="208"/>
      <c r="CT160" s="208"/>
      <c r="CU160" s="208"/>
      <c r="CV160" s="208"/>
      <c r="CW160" s="208"/>
      <c r="CX160" s="208"/>
      <c r="CY160" s="208"/>
      <c r="CZ160" s="208"/>
      <c r="DA160" s="208"/>
      <c r="DB160" s="208"/>
      <c r="DC160" s="208"/>
      <c r="DD160" s="208"/>
      <c r="DE160" s="208"/>
      <c r="DF160" s="208"/>
    </row>
    <row x14ac:dyDescent="0.25" r="161" customHeight="1" ht="19.5">
      <c r="A161" s="2"/>
      <c r="B161" s="208"/>
      <c r="C161" s="208"/>
      <c r="D161" s="2"/>
      <c r="E161" s="208"/>
      <c r="F161" s="296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208"/>
      <c r="BJ161" s="208"/>
      <c r="BK161" s="208"/>
      <c r="BL161" s="208"/>
      <c r="BM161" s="208"/>
      <c r="BN161" s="208"/>
      <c r="BO161" s="208"/>
      <c r="BP161" s="208"/>
      <c r="BQ161" s="208"/>
      <c r="BR161" s="208"/>
      <c r="BS161" s="208"/>
      <c r="BT161" s="208"/>
      <c r="BU161" s="208"/>
      <c r="BV161" s="208"/>
      <c r="BW161" s="208"/>
      <c r="BX161" s="208"/>
      <c r="BY161" s="208"/>
      <c r="BZ161" s="208"/>
      <c r="CA161" s="208"/>
      <c r="CB161" s="208"/>
      <c r="CC161" s="208"/>
      <c r="CD161" s="208"/>
      <c r="CE161" s="208"/>
      <c r="CF161" s="208"/>
      <c r="CG161" s="208"/>
      <c r="CH161" s="208"/>
      <c r="CI161" s="208"/>
      <c r="CJ161" s="208"/>
      <c r="CK161" s="208"/>
      <c r="CL161" s="208"/>
      <c r="CM161" s="208"/>
      <c r="CN161" s="208"/>
      <c r="CO161" s="208"/>
      <c r="CP161" s="208"/>
      <c r="CQ161" s="208"/>
      <c r="CR161" s="208"/>
      <c r="CS161" s="208"/>
      <c r="CT161" s="208"/>
      <c r="CU161" s="208"/>
      <c r="CV161" s="208"/>
      <c r="CW161" s="208"/>
      <c r="CX161" s="208"/>
      <c r="CY161" s="208"/>
      <c r="CZ161" s="208"/>
      <c r="DA161" s="208"/>
      <c r="DB161" s="208"/>
      <c r="DC161" s="208"/>
      <c r="DD161" s="208"/>
      <c r="DE161" s="208"/>
      <c r="DF161" s="208"/>
    </row>
    <row x14ac:dyDescent="0.25" r="162" customHeight="1" ht="19.5">
      <c r="A162" s="2"/>
      <c r="B162" s="208"/>
      <c r="C162" s="208"/>
      <c r="D162" s="2"/>
      <c r="E162" s="208"/>
      <c r="F162" s="296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"/>
      <c r="Y162" s="208"/>
      <c r="Z162" s="208"/>
      <c r="AA162" s="208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208"/>
      <c r="BJ162" s="208"/>
      <c r="BK162" s="208"/>
      <c r="BL162" s="208"/>
      <c r="BM162" s="208"/>
      <c r="BN162" s="208"/>
      <c r="BO162" s="208"/>
      <c r="BP162" s="208"/>
      <c r="BQ162" s="208"/>
      <c r="BR162" s="208"/>
      <c r="BS162" s="208"/>
      <c r="BT162" s="208"/>
      <c r="BU162" s="208"/>
      <c r="BV162" s="208"/>
      <c r="BW162" s="208"/>
      <c r="BX162" s="208"/>
      <c r="BY162" s="208"/>
      <c r="BZ162" s="208"/>
      <c r="CA162" s="208"/>
      <c r="CB162" s="208"/>
      <c r="CC162" s="208"/>
      <c r="CD162" s="208"/>
      <c r="CE162" s="208"/>
      <c r="CF162" s="208"/>
      <c r="CG162" s="208"/>
      <c r="CH162" s="208"/>
      <c r="CI162" s="208"/>
      <c r="CJ162" s="208"/>
      <c r="CK162" s="208"/>
      <c r="CL162" s="208"/>
      <c r="CM162" s="208"/>
      <c r="CN162" s="208"/>
      <c r="CO162" s="208"/>
      <c r="CP162" s="208"/>
      <c r="CQ162" s="208"/>
      <c r="CR162" s="208"/>
      <c r="CS162" s="208"/>
      <c r="CT162" s="208"/>
      <c r="CU162" s="208"/>
      <c r="CV162" s="208"/>
      <c r="CW162" s="208"/>
      <c r="CX162" s="208"/>
      <c r="CY162" s="208"/>
      <c r="CZ162" s="208"/>
      <c r="DA162" s="208"/>
      <c r="DB162" s="208"/>
      <c r="DC162" s="208"/>
      <c r="DD162" s="208"/>
      <c r="DE162" s="208"/>
      <c r="DF162" s="208"/>
    </row>
    <row x14ac:dyDescent="0.25" r="163" customHeight="1" ht="19.5">
      <c r="A163" s="2"/>
      <c r="B163" s="208"/>
      <c r="C163" s="208"/>
      <c r="D163" s="2"/>
      <c r="E163" s="208"/>
      <c r="F163" s="296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"/>
      <c r="Y163" s="208"/>
      <c r="Z163" s="208"/>
      <c r="AA163" s="208"/>
      <c r="AB163" s="208"/>
      <c r="AC163" s="208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08"/>
      <c r="AT163" s="208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208"/>
      <c r="BJ163" s="208"/>
      <c r="BK163" s="208"/>
      <c r="BL163" s="208"/>
      <c r="BM163" s="208"/>
      <c r="BN163" s="208"/>
      <c r="BO163" s="208"/>
      <c r="BP163" s="208"/>
      <c r="BQ163" s="208"/>
      <c r="BR163" s="208"/>
      <c r="BS163" s="208"/>
      <c r="BT163" s="208"/>
      <c r="BU163" s="208"/>
      <c r="BV163" s="208"/>
      <c r="BW163" s="208"/>
      <c r="BX163" s="208"/>
      <c r="BY163" s="208"/>
      <c r="BZ163" s="208"/>
      <c r="CA163" s="208"/>
      <c r="CB163" s="208"/>
      <c r="CC163" s="208"/>
      <c r="CD163" s="208"/>
      <c r="CE163" s="208"/>
      <c r="CF163" s="208"/>
      <c r="CG163" s="208"/>
      <c r="CH163" s="208"/>
      <c r="CI163" s="208"/>
      <c r="CJ163" s="208"/>
      <c r="CK163" s="208"/>
      <c r="CL163" s="208"/>
      <c r="CM163" s="208"/>
      <c r="CN163" s="208"/>
      <c r="CO163" s="208"/>
      <c r="CP163" s="208"/>
      <c r="CQ163" s="208"/>
      <c r="CR163" s="208"/>
      <c r="CS163" s="208"/>
      <c r="CT163" s="208"/>
      <c r="CU163" s="208"/>
      <c r="CV163" s="208"/>
      <c r="CW163" s="208"/>
      <c r="CX163" s="208"/>
      <c r="CY163" s="208"/>
      <c r="CZ163" s="208"/>
      <c r="DA163" s="208"/>
      <c r="DB163" s="208"/>
      <c r="DC163" s="208"/>
      <c r="DD163" s="208"/>
      <c r="DE163" s="208"/>
      <c r="DF163" s="208"/>
    </row>
    <row x14ac:dyDescent="0.25" r="164" customHeight="1" ht="19.5">
      <c r="A164" s="2"/>
      <c r="B164" s="208"/>
      <c r="C164" s="208"/>
      <c r="D164" s="2"/>
      <c r="E164" s="208"/>
      <c r="F164" s="296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"/>
      <c r="Y164" s="208"/>
      <c r="Z164" s="208"/>
      <c r="AA164" s="208"/>
      <c r="AB164" s="208"/>
      <c r="AC164" s="208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08"/>
      <c r="AT164" s="208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208"/>
      <c r="BT164" s="208"/>
      <c r="BU164" s="208"/>
      <c r="BV164" s="208"/>
      <c r="BW164" s="208"/>
      <c r="BX164" s="208"/>
      <c r="BY164" s="208"/>
      <c r="BZ164" s="208"/>
      <c r="CA164" s="208"/>
      <c r="CB164" s="208"/>
      <c r="CC164" s="208"/>
      <c r="CD164" s="208"/>
      <c r="CE164" s="208"/>
      <c r="CF164" s="208"/>
      <c r="CG164" s="208"/>
      <c r="CH164" s="208"/>
      <c r="CI164" s="208"/>
      <c r="CJ164" s="208"/>
      <c r="CK164" s="208"/>
      <c r="CL164" s="208"/>
      <c r="CM164" s="208"/>
      <c r="CN164" s="208"/>
      <c r="CO164" s="208"/>
      <c r="CP164" s="208"/>
      <c r="CQ164" s="208"/>
      <c r="CR164" s="208"/>
      <c r="CS164" s="208"/>
      <c r="CT164" s="208"/>
      <c r="CU164" s="208"/>
      <c r="CV164" s="208"/>
      <c r="CW164" s="208"/>
      <c r="CX164" s="208"/>
      <c r="CY164" s="208"/>
      <c r="CZ164" s="208"/>
      <c r="DA164" s="208"/>
      <c r="DB164" s="208"/>
      <c r="DC164" s="208"/>
      <c r="DD164" s="208"/>
      <c r="DE164" s="208"/>
      <c r="DF164" s="208"/>
    </row>
    <row x14ac:dyDescent="0.25" r="165" customHeight="1" ht="19.5">
      <c r="A165" s="2"/>
      <c r="B165" s="208"/>
      <c r="C165" s="208"/>
      <c r="D165" s="2"/>
      <c r="E165" s="208"/>
      <c r="F165" s="296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"/>
      <c r="Y165" s="208"/>
      <c r="Z165" s="208"/>
      <c r="AA165" s="208"/>
      <c r="AB165" s="208"/>
      <c r="AC165" s="208"/>
      <c r="AD165" s="208"/>
      <c r="AE165" s="208"/>
      <c r="AF165" s="208"/>
      <c r="AG165" s="208"/>
      <c r="AH165" s="208"/>
      <c r="AI165" s="208"/>
      <c r="AJ165" s="208"/>
      <c r="AK165" s="208"/>
      <c r="AL165" s="208"/>
      <c r="AM165" s="208"/>
      <c r="AN165" s="208"/>
      <c r="AO165" s="208"/>
      <c r="AP165" s="208"/>
      <c r="AQ165" s="208"/>
      <c r="AR165" s="208"/>
      <c r="AS165" s="208"/>
      <c r="AT165" s="208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208"/>
      <c r="BJ165" s="208"/>
      <c r="BK165" s="208"/>
      <c r="BL165" s="208"/>
      <c r="BM165" s="208"/>
      <c r="BN165" s="208"/>
      <c r="BO165" s="208"/>
      <c r="BP165" s="208"/>
      <c r="BQ165" s="208"/>
      <c r="BR165" s="208"/>
      <c r="BS165" s="208"/>
      <c r="BT165" s="208"/>
      <c r="BU165" s="208"/>
      <c r="BV165" s="208"/>
      <c r="BW165" s="208"/>
      <c r="BX165" s="208"/>
      <c r="BY165" s="208"/>
      <c r="BZ165" s="208"/>
      <c r="CA165" s="208"/>
      <c r="CB165" s="208"/>
      <c r="CC165" s="208"/>
      <c r="CD165" s="208"/>
      <c r="CE165" s="208"/>
      <c r="CF165" s="208"/>
      <c r="CG165" s="208"/>
      <c r="CH165" s="208"/>
      <c r="CI165" s="208"/>
      <c r="CJ165" s="208"/>
      <c r="CK165" s="208"/>
      <c r="CL165" s="208"/>
      <c r="CM165" s="208"/>
      <c r="CN165" s="208"/>
      <c r="CO165" s="208"/>
      <c r="CP165" s="208"/>
      <c r="CQ165" s="208"/>
      <c r="CR165" s="208"/>
      <c r="CS165" s="208"/>
      <c r="CT165" s="208"/>
      <c r="CU165" s="208"/>
      <c r="CV165" s="208"/>
      <c r="CW165" s="208"/>
      <c r="CX165" s="208"/>
      <c r="CY165" s="208"/>
      <c r="CZ165" s="208"/>
      <c r="DA165" s="208"/>
      <c r="DB165" s="208"/>
      <c r="DC165" s="208"/>
      <c r="DD165" s="208"/>
      <c r="DE165" s="208"/>
      <c r="DF165" s="208"/>
    </row>
    <row x14ac:dyDescent="0.25" r="166" customHeight="1" ht="19.5">
      <c r="A166" s="2"/>
      <c r="B166" s="208"/>
      <c r="C166" s="208"/>
      <c r="D166" s="2"/>
      <c r="E166" s="208"/>
      <c r="F166" s="296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"/>
      <c r="Y166" s="208"/>
      <c r="Z166" s="208"/>
      <c r="AA166" s="208"/>
      <c r="AB166" s="208"/>
      <c r="AC166" s="208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208"/>
      <c r="BJ166" s="208"/>
      <c r="BK166" s="208"/>
      <c r="BL166" s="208"/>
      <c r="BM166" s="208"/>
      <c r="BN166" s="208"/>
      <c r="BO166" s="208"/>
      <c r="BP166" s="208"/>
      <c r="BQ166" s="208"/>
      <c r="BR166" s="208"/>
      <c r="BS166" s="208"/>
      <c r="BT166" s="208"/>
      <c r="BU166" s="208"/>
      <c r="BV166" s="208"/>
      <c r="BW166" s="208"/>
      <c r="BX166" s="208"/>
      <c r="BY166" s="208"/>
      <c r="BZ166" s="208"/>
      <c r="CA166" s="208"/>
      <c r="CB166" s="208"/>
      <c r="CC166" s="208"/>
      <c r="CD166" s="208"/>
      <c r="CE166" s="208"/>
      <c r="CF166" s="208"/>
      <c r="CG166" s="208"/>
      <c r="CH166" s="208"/>
      <c r="CI166" s="208"/>
      <c r="CJ166" s="208"/>
      <c r="CK166" s="208"/>
      <c r="CL166" s="208"/>
      <c r="CM166" s="208"/>
      <c r="CN166" s="208"/>
      <c r="CO166" s="208"/>
      <c r="CP166" s="208"/>
      <c r="CQ166" s="208"/>
      <c r="CR166" s="208"/>
      <c r="CS166" s="208"/>
      <c r="CT166" s="208"/>
      <c r="CU166" s="208"/>
      <c r="CV166" s="208"/>
      <c r="CW166" s="208"/>
      <c r="CX166" s="208"/>
      <c r="CY166" s="208"/>
      <c r="CZ166" s="208"/>
      <c r="DA166" s="208"/>
      <c r="DB166" s="208"/>
      <c r="DC166" s="208"/>
      <c r="DD166" s="208"/>
      <c r="DE166" s="208"/>
      <c r="DF166" s="208"/>
    </row>
    <row x14ac:dyDescent="0.25" r="167" customHeight="1" ht="19.5">
      <c r="A167" s="2"/>
      <c r="B167" s="208"/>
      <c r="C167" s="208"/>
      <c r="D167" s="2"/>
      <c r="E167" s="208"/>
      <c r="F167" s="296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208"/>
      <c r="BJ167" s="208"/>
      <c r="BK167" s="208"/>
      <c r="BL167" s="208"/>
      <c r="BM167" s="208"/>
      <c r="BN167" s="208"/>
      <c r="BO167" s="208"/>
      <c r="BP167" s="208"/>
      <c r="BQ167" s="208"/>
      <c r="BR167" s="208"/>
      <c r="BS167" s="208"/>
      <c r="BT167" s="208"/>
      <c r="BU167" s="208"/>
      <c r="BV167" s="208"/>
      <c r="BW167" s="208"/>
      <c r="BX167" s="208"/>
      <c r="BY167" s="208"/>
      <c r="BZ167" s="208"/>
      <c r="CA167" s="208"/>
      <c r="CB167" s="208"/>
      <c r="CC167" s="208"/>
      <c r="CD167" s="208"/>
      <c r="CE167" s="208"/>
      <c r="CF167" s="208"/>
      <c r="CG167" s="208"/>
      <c r="CH167" s="208"/>
      <c r="CI167" s="208"/>
      <c r="CJ167" s="208"/>
      <c r="CK167" s="208"/>
      <c r="CL167" s="208"/>
      <c r="CM167" s="208"/>
      <c r="CN167" s="208"/>
      <c r="CO167" s="208"/>
      <c r="CP167" s="208"/>
      <c r="CQ167" s="208"/>
      <c r="CR167" s="208"/>
      <c r="CS167" s="208"/>
      <c r="CT167" s="208"/>
      <c r="CU167" s="208"/>
      <c r="CV167" s="208"/>
      <c r="CW167" s="208"/>
      <c r="CX167" s="208"/>
      <c r="CY167" s="208"/>
      <c r="CZ167" s="208"/>
      <c r="DA167" s="208"/>
      <c r="DB167" s="208"/>
      <c r="DC167" s="208"/>
      <c r="DD167" s="208"/>
      <c r="DE167" s="208"/>
      <c r="DF167" s="208"/>
    </row>
    <row x14ac:dyDescent="0.25" r="168" customHeight="1" ht="19.5">
      <c r="A168" s="2"/>
      <c r="B168" s="208"/>
      <c r="C168" s="208"/>
      <c r="D168" s="2"/>
      <c r="E168" s="208"/>
      <c r="F168" s="296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  <c r="CL168" s="208"/>
      <c r="CM168" s="208"/>
      <c r="CN168" s="208"/>
      <c r="CO168" s="208"/>
      <c r="CP168" s="208"/>
      <c r="CQ168" s="208"/>
      <c r="CR168" s="208"/>
      <c r="CS168" s="208"/>
      <c r="CT168" s="208"/>
      <c r="CU168" s="208"/>
      <c r="CV168" s="208"/>
      <c r="CW168" s="208"/>
      <c r="CX168" s="208"/>
      <c r="CY168" s="208"/>
      <c r="CZ168" s="208"/>
      <c r="DA168" s="208"/>
      <c r="DB168" s="208"/>
      <c r="DC168" s="208"/>
      <c r="DD168" s="208"/>
      <c r="DE168" s="208"/>
      <c r="DF168" s="208"/>
    </row>
    <row x14ac:dyDescent="0.25" r="169" customHeight="1" ht="19.5">
      <c r="A169" s="2"/>
      <c r="B169" s="208"/>
      <c r="C169" s="208"/>
      <c r="D169" s="2"/>
      <c r="E169" s="208"/>
      <c r="F169" s="296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208"/>
      <c r="BJ169" s="208"/>
      <c r="BK169" s="208"/>
      <c r="BL169" s="208"/>
      <c r="BM169" s="208"/>
      <c r="BN169" s="208"/>
      <c r="BO169" s="208"/>
      <c r="BP169" s="208"/>
      <c r="BQ169" s="208"/>
      <c r="BR169" s="208"/>
      <c r="BS169" s="208"/>
      <c r="BT169" s="208"/>
      <c r="BU169" s="208"/>
      <c r="BV169" s="208"/>
      <c r="BW169" s="208"/>
      <c r="BX169" s="208"/>
      <c r="BY169" s="208"/>
      <c r="BZ169" s="208"/>
      <c r="CA169" s="208"/>
      <c r="CB169" s="208"/>
      <c r="CC169" s="208"/>
      <c r="CD169" s="208"/>
      <c r="CE169" s="208"/>
      <c r="CF169" s="208"/>
      <c r="CG169" s="208"/>
      <c r="CH169" s="208"/>
      <c r="CI169" s="208"/>
      <c r="CJ169" s="208"/>
      <c r="CK169" s="208"/>
      <c r="CL169" s="208"/>
      <c r="CM169" s="208"/>
      <c r="CN169" s="208"/>
      <c r="CO169" s="208"/>
      <c r="CP169" s="208"/>
      <c r="CQ169" s="208"/>
      <c r="CR169" s="208"/>
      <c r="CS169" s="208"/>
      <c r="CT169" s="208"/>
      <c r="CU169" s="208"/>
      <c r="CV169" s="208"/>
      <c r="CW169" s="208"/>
      <c r="CX169" s="208"/>
      <c r="CY169" s="208"/>
      <c r="CZ169" s="208"/>
      <c r="DA169" s="208"/>
      <c r="DB169" s="208"/>
      <c r="DC169" s="208"/>
      <c r="DD169" s="208"/>
      <c r="DE169" s="208"/>
      <c r="DF169" s="208"/>
    </row>
    <row x14ac:dyDescent="0.25" r="170" customHeight="1" ht="19.5">
      <c r="A170" s="2"/>
      <c r="B170" s="208"/>
      <c r="C170" s="208"/>
      <c r="D170" s="2"/>
      <c r="E170" s="208"/>
      <c r="F170" s="296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208"/>
      <c r="BJ170" s="208"/>
      <c r="BK170" s="208"/>
      <c r="BL170" s="208"/>
      <c r="BM170" s="208"/>
      <c r="BN170" s="208"/>
      <c r="BO170" s="208"/>
      <c r="BP170" s="208"/>
      <c r="BQ170" s="208"/>
      <c r="BR170" s="208"/>
      <c r="BS170" s="208"/>
      <c r="BT170" s="208"/>
      <c r="BU170" s="208"/>
      <c r="BV170" s="208"/>
      <c r="BW170" s="208"/>
      <c r="BX170" s="208"/>
      <c r="BY170" s="208"/>
      <c r="BZ170" s="208"/>
      <c r="CA170" s="208"/>
      <c r="CB170" s="208"/>
      <c r="CC170" s="208"/>
      <c r="CD170" s="208"/>
      <c r="CE170" s="208"/>
      <c r="CF170" s="208"/>
      <c r="CG170" s="208"/>
      <c r="CH170" s="208"/>
      <c r="CI170" s="208"/>
      <c r="CJ170" s="208"/>
      <c r="CK170" s="208"/>
      <c r="CL170" s="208"/>
      <c r="CM170" s="208"/>
      <c r="CN170" s="208"/>
      <c r="CO170" s="208"/>
      <c r="CP170" s="208"/>
      <c r="CQ170" s="208"/>
      <c r="CR170" s="208"/>
      <c r="CS170" s="208"/>
      <c r="CT170" s="208"/>
      <c r="CU170" s="208"/>
      <c r="CV170" s="208"/>
      <c r="CW170" s="208"/>
      <c r="CX170" s="208"/>
      <c r="CY170" s="208"/>
      <c r="CZ170" s="208"/>
      <c r="DA170" s="208"/>
      <c r="DB170" s="208"/>
      <c r="DC170" s="208"/>
      <c r="DD170" s="208"/>
      <c r="DE170" s="208"/>
      <c r="DF170" s="208"/>
    </row>
    <row x14ac:dyDescent="0.25" r="171" customHeight="1" ht="19.5">
      <c r="A171" s="2"/>
      <c r="B171" s="208"/>
      <c r="C171" s="208"/>
      <c r="D171" s="2"/>
      <c r="E171" s="208"/>
      <c r="F171" s="296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208"/>
      <c r="BJ171" s="208"/>
      <c r="BK171" s="208"/>
      <c r="BL171" s="208"/>
      <c r="BM171" s="208"/>
      <c r="BN171" s="208"/>
      <c r="BO171" s="208"/>
      <c r="BP171" s="208"/>
      <c r="BQ171" s="208"/>
      <c r="BR171" s="208"/>
      <c r="BS171" s="208"/>
      <c r="BT171" s="208"/>
      <c r="BU171" s="208"/>
      <c r="BV171" s="208"/>
      <c r="BW171" s="208"/>
      <c r="BX171" s="208"/>
      <c r="BY171" s="208"/>
      <c r="BZ171" s="208"/>
      <c r="CA171" s="208"/>
      <c r="CB171" s="208"/>
      <c r="CC171" s="208"/>
      <c r="CD171" s="208"/>
      <c r="CE171" s="208"/>
      <c r="CF171" s="208"/>
      <c r="CG171" s="208"/>
      <c r="CH171" s="208"/>
      <c r="CI171" s="208"/>
      <c r="CJ171" s="208"/>
      <c r="CK171" s="208"/>
      <c r="CL171" s="208"/>
      <c r="CM171" s="208"/>
      <c r="CN171" s="208"/>
      <c r="CO171" s="208"/>
      <c r="CP171" s="208"/>
      <c r="CQ171" s="208"/>
      <c r="CR171" s="208"/>
      <c r="CS171" s="208"/>
      <c r="CT171" s="208"/>
      <c r="CU171" s="208"/>
      <c r="CV171" s="208"/>
      <c r="CW171" s="208"/>
      <c r="CX171" s="208"/>
      <c r="CY171" s="208"/>
      <c r="CZ171" s="208"/>
      <c r="DA171" s="208"/>
      <c r="DB171" s="208"/>
      <c r="DC171" s="208"/>
      <c r="DD171" s="208"/>
      <c r="DE171" s="208"/>
      <c r="DF171" s="208"/>
    </row>
    <row x14ac:dyDescent="0.25" r="172" customHeight="1" ht="19.5">
      <c r="A172" s="2"/>
      <c r="B172" s="208"/>
      <c r="C172" s="208"/>
      <c r="D172" s="2"/>
      <c r="E172" s="208"/>
      <c r="F172" s="296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  <c r="CC172" s="208"/>
      <c r="CD172" s="208"/>
      <c r="CE172" s="208"/>
      <c r="CF172" s="208"/>
      <c r="CG172" s="208"/>
      <c r="CH172" s="208"/>
      <c r="CI172" s="208"/>
      <c r="CJ172" s="208"/>
      <c r="CK172" s="208"/>
      <c r="CL172" s="208"/>
      <c r="CM172" s="208"/>
      <c r="CN172" s="208"/>
      <c r="CO172" s="208"/>
      <c r="CP172" s="208"/>
      <c r="CQ172" s="208"/>
      <c r="CR172" s="208"/>
      <c r="CS172" s="208"/>
      <c r="CT172" s="208"/>
      <c r="CU172" s="208"/>
      <c r="CV172" s="208"/>
      <c r="CW172" s="208"/>
      <c r="CX172" s="208"/>
      <c r="CY172" s="208"/>
      <c r="CZ172" s="208"/>
      <c r="DA172" s="208"/>
      <c r="DB172" s="208"/>
      <c r="DC172" s="208"/>
      <c r="DD172" s="208"/>
      <c r="DE172" s="208"/>
      <c r="DF172" s="208"/>
    </row>
    <row x14ac:dyDescent="0.25" r="173" customHeight="1" ht="19.5">
      <c r="A173" s="2"/>
      <c r="B173" s="208"/>
      <c r="C173" s="208"/>
      <c r="D173" s="2"/>
      <c r="E173" s="208"/>
      <c r="F173" s="296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208"/>
      <c r="BJ173" s="208"/>
      <c r="BK173" s="208"/>
      <c r="BL173" s="208"/>
      <c r="BM173" s="208"/>
      <c r="BN173" s="208"/>
      <c r="BO173" s="208"/>
      <c r="BP173" s="208"/>
      <c r="BQ173" s="208"/>
      <c r="BR173" s="208"/>
      <c r="BS173" s="208"/>
      <c r="BT173" s="208"/>
      <c r="BU173" s="208"/>
      <c r="BV173" s="208"/>
      <c r="BW173" s="208"/>
      <c r="BX173" s="208"/>
      <c r="BY173" s="208"/>
      <c r="BZ173" s="208"/>
      <c r="CA173" s="208"/>
      <c r="CB173" s="208"/>
      <c r="CC173" s="208"/>
      <c r="CD173" s="208"/>
      <c r="CE173" s="208"/>
      <c r="CF173" s="208"/>
      <c r="CG173" s="208"/>
      <c r="CH173" s="208"/>
      <c r="CI173" s="208"/>
      <c r="CJ173" s="208"/>
      <c r="CK173" s="208"/>
      <c r="CL173" s="208"/>
      <c r="CM173" s="208"/>
      <c r="CN173" s="208"/>
      <c r="CO173" s="208"/>
      <c r="CP173" s="208"/>
      <c r="CQ173" s="208"/>
      <c r="CR173" s="208"/>
      <c r="CS173" s="208"/>
      <c r="CT173" s="208"/>
      <c r="CU173" s="208"/>
      <c r="CV173" s="208"/>
      <c r="CW173" s="208"/>
      <c r="CX173" s="208"/>
      <c r="CY173" s="208"/>
      <c r="CZ173" s="208"/>
      <c r="DA173" s="208"/>
      <c r="DB173" s="208"/>
      <c r="DC173" s="208"/>
      <c r="DD173" s="208"/>
      <c r="DE173" s="208"/>
      <c r="DF173" s="208"/>
    </row>
    <row x14ac:dyDescent="0.25" r="174" customHeight="1" ht="19.5">
      <c r="A174" s="2"/>
      <c r="B174" s="208"/>
      <c r="C174" s="208"/>
      <c r="D174" s="2"/>
      <c r="E174" s="208"/>
      <c r="F174" s="296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8"/>
      <c r="BN174" s="208"/>
      <c r="BO174" s="208"/>
      <c r="BP174" s="208"/>
      <c r="BQ174" s="208"/>
      <c r="BR174" s="208"/>
      <c r="BS174" s="208"/>
      <c r="BT174" s="208"/>
      <c r="BU174" s="208"/>
      <c r="BV174" s="208"/>
      <c r="BW174" s="208"/>
      <c r="BX174" s="208"/>
      <c r="BY174" s="208"/>
      <c r="BZ174" s="208"/>
      <c r="CA174" s="208"/>
      <c r="CB174" s="208"/>
      <c r="CC174" s="208"/>
      <c r="CD174" s="208"/>
      <c r="CE174" s="208"/>
      <c r="CF174" s="208"/>
      <c r="CG174" s="208"/>
      <c r="CH174" s="208"/>
      <c r="CI174" s="208"/>
      <c r="CJ174" s="208"/>
      <c r="CK174" s="208"/>
      <c r="CL174" s="208"/>
      <c r="CM174" s="208"/>
      <c r="CN174" s="208"/>
      <c r="CO174" s="208"/>
      <c r="CP174" s="208"/>
      <c r="CQ174" s="208"/>
      <c r="CR174" s="208"/>
      <c r="CS174" s="208"/>
      <c r="CT174" s="208"/>
      <c r="CU174" s="208"/>
      <c r="CV174" s="208"/>
      <c r="CW174" s="208"/>
      <c r="CX174" s="208"/>
      <c r="CY174" s="208"/>
      <c r="CZ174" s="208"/>
      <c r="DA174" s="208"/>
      <c r="DB174" s="208"/>
      <c r="DC174" s="208"/>
      <c r="DD174" s="208"/>
      <c r="DE174" s="208"/>
      <c r="DF174" s="208"/>
    </row>
    <row x14ac:dyDescent="0.25" r="175" customHeight="1" ht="19.5">
      <c r="A175" s="2"/>
      <c r="B175" s="208"/>
      <c r="C175" s="208"/>
      <c r="D175" s="2"/>
      <c r="E175" s="208"/>
      <c r="F175" s="296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8"/>
      <c r="BN175" s="208"/>
      <c r="BO175" s="208"/>
      <c r="BP175" s="208"/>
      <c r="BQ175" s="208"/>
      <c r="BR175" s="208"/>
      <c r="BS175" s="208"/>
      <c r="BT175" s="208"/>
      <c r="BU175" s="208"/>
      <c r="BV175" s="208"/>
      <c r="BW175" s="208"/>
      <c r="BX175" s="208"/>
      <c r="BY175" s="208"/>
      <c r="BZ175" s="208"/>
      <c r="CA175" s="208"/>
      <c r="CB175" s="208"/>
      <c r="CC175" s="208"/>
      <c r="CD175" s="208"/>
      <c r="CE175" s="208"/>
      <c r="CF175" s="208"/>
      <c r="CG175" s="208"/>
      <c r="CH175" s="208"/>
      <c r="CI175" s="208"/>
      <c r="CJ175" s="208"/>
      <c r="CK175" s="208"/>
      <c r="CL175" s="208"/>
      <c r="CM175" s="208"/>
      <c r="CN175" s="208"/>
      <c r="CO175" s="208"/>
      <c r="CP175" s="208"/>
      <c r="CQ175" s="208"/>
      <c r="CR175" s="208"/>
      <c r="CS175" s="208"/>
      <c r="CT175" s="208"/>
      <c r="CU175" s="208"/>
      <c r="CV175" s="208"/>
      <c r="CW175" s="208"/>
      <c r="CX175" s="208"/>
      <c r="CY175" s="208"/>
      <c r="CZ175" s="208"/>
      <c r="DA175" s="208"/>
      <c r="DB175" s="208"/>
      <c r="DC175" s="208"/>
      <c r="DD175" s="208"/>
      <c r="DE175" s="208"/>
      <c r="DF175" s="208"/>
    </row>
    <row x14ac:dyDescent="0.25" r="176" customHeight="1" ht="19.5">
      <c r="A176" s="2"/>
      <c r="B176" s="208"/>
      <c r="C176" s="208"/>
      <c r="D176" s="2"/>
      <c r="E176" s="208"/>
      <c r="F176" s="296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"/>
      <c r="Y176" s="208"/>
      <c r="Z176" s="208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  <c r="CL176" s="208"/>
      <c r="CM176" s="208"/>
      <c r="CN176" s="208"/>
      <c r="CO176" s="208"/>
      <c r="CP176" s="208"/>
      <c r="CQ176" s="208"/>
      <c r="CR176" s="208"/>
      <c r="CS176" s="208"/>
      <c r="CT176" s="208"/>
      <c r="CU176" s="208"/>
      <c r="CV176" s="208"/>
      <c r="CW176" s="208"/>
      <c r="CX176" s="208"/>
      <c r="CY176" s="208"/>
      <c r="CZ176" s="208"/>
      <c r="DA176" s="208"/>
      <c r="DB176" s="208"/>
      <c r="DC176" s="208"/>
      <c r="DD176" s="208"/>
      <c r="DE176" s="208"/>
      <c r="DF176" s="208"/>
    </row>
    <row x14ac:dyDescent="0.25" r="177" customHeight="1" ht="19.5">
      <c r="A177" s="2"/>
      <c r="B177" s="208"/>
      <c r="C177" s="208"/>
      <c r="D177" s="2"/>
      <c r="E177" s="208"/>
      <c r="F177" s="296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"/>
      <c r="Y177" s="208"/>
      <c r="Z177" s="208"/>
      <c r="AA177" s="208"/>
      <c r="AB177" s="208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08"/>
      <c r="BN177" s="208"/>
      <c r="BO177" s="208"/>
      <c r="BP177" s="208"/>
      <c r="BQ177" s="208"/>
      <c r="BR177" s="208"/>
      <c r="BS177" s="208"/>
      <c r="BT177" s="208"/>
      <c r="BU177" s="208"/>
      <c r="BV177" s="208"/>
      <c r="BW177" s="208"/>
      <c r="BX177" s="208"/>
      <c r="BY177" s="208"/>
      <c r="BZ177" s="208"/>
      <c r="CA177" s="208"/>
      <c r="CB177" s="208"/>
      <c r="CC177" s="208"/>
      <c r="CD177" s="208"/>
      <c r="CE177" s="208"/>
      <c r="CF177" s="208"/>
      <c r="CG177" s="208"/>
      <c r="CH177" s="208"/>
      <c r="CI177" s="208"/>
      <c r="CJ177" s="208"/>
      <c r="CK177" s="208"/>
      <c r="CL177" s="208"/>
      <c r="CM177" s="208"/>
      <c r="CN177" s="208"/>
      <c r="CO177" s="208"/>
      <c r="CP177" s="208"/>
      <c r="CQ177" s="208"/>
      <c r="CR177" s="208"/>
      <c r="CS177" s="208"/>
      <c r="CT177" s="208"/>
      <c r="CU177" s="208"/>
      <c r="CV177" s="208"/>
      <c r="CW177" s="208"/>
      <c r="CX177" s="208"/>
      <c r="CY177" s="208"/>
      <c r="CZ177" s="208"/>
      <c r="DA177" s="208"/>
      <c r="DB177" s="208"/>
      <c r="DC177" s="208"/>
      <c r="DD177" s="208"/>
      <c r="DE177" s="208"/>
      <c r="DF177" s="208"/>
    </row>
    <row x14ac:dyDescent="0.25" r="178" customHeight="1" ht="19.5">
      <c r="A178" s="2"/>
      <c r="B178" s="208"/>
      <c r="C178" s="208"/>
      <c r="D178" s="2"/>
      <c r="E178" s="208"/>
      <c r="F178" s="296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"/>
      <c r="Y178" s="208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08"/>
      <c r="BN178" s="208"/>
      <c r="BO178" s="208"/>
      <c r="BP178" s="208"/>
      <c r="BQ178" s="208"/>
      <c r="BR178" s="208"/>
      <c r="BS178" s="208"/>
      <c r="BT178" s="208"/>
      <c r="BU178" s="208"/>
      <c r="BV178" s="208"/>
      <c r="BW178" s="208"/>
      <c r="BX178" s="208"/>
      <c r="BY178" s="208"/>
      <c r="BZ178" s="208"/>
      <c r="CA178" s="208"/>
      <c r="CB178" s="208"/>
      <c r="CC178" s="208"/>
      <c r="CD178" s="208"/>
      <c r="CE178" s="208"/>
      <c r="CF178" s="208"/>
      <c r="CG178" s="208"/>
      <c r="CH178" s="208"/>
      <c r="CI178" s="208"/>
      <c r="CJ178" s="208"/>
      <c r="CK178" s="208"/>
      <c r="CL178" s="208"/>
      <c r="CM178" s="208"/>
      <c r="CN178" s="208"/>
      <c r="CO178" s="208"/>
      <c r="CP178" s="208"/>
      <c r="CQ178" s="208"/>
      <c r="CR178" s="208"/>
      <c r="CS178" s="208"/>
      <c r="CT178" s="208"/>
      <c r="CU178" s="208"/>
      <c r="CV178" s="208"/>
      <c r="CW178" s="208"/>
      <c r="CX178" s="208"/>
      <c r="CY178" s="208"/>
      <c r="CZ178" s="208"/>
      <c r="DA178" s="208"/>
      <c r="DB178" s="208"/>
      <c r="DC178" s="208"/>
      <c r="DD178" s="208"/>
      <c r="DE178" s="208"/>
      <c r="DF178" s="208"/>
    </row>
    <row x14ac:dyDescent="0.25" r="179" customHeight="1" ht="19.5">
      <c r="A179" s="2"/>
      <c r="B179" s="208"/>
      <c r="C179" s="208"/>
      <c r="D179" s="2"/>
      <c r="E179" s="208"/>
      <c r="F179" s="296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208"/>
      <c r="BJ179" s="208"/>
      <c r="BK179" s="208"/>
      <c r="BL179" s="208"/>
      <c r="BM179" s="208"/>
      <c r="BN179" s="208"/>
      <c r="BO179" s="208"/>
      <c r="BP179" s="208"/>
      <c r="BQ179" s="208"/>
      <c r="BR179" s="208"/>
      <c r="BS179" s="208"/>
      <c r="BT179" s="208"/>
      <c r="BU179" s="208"/>
      <c r="BV179" s="208"/>
      <c r="BW179" s="208"/>
      <c r="BX179" s="208"/>
      <c r="BY179" s="208"/>
      <c r="BZ179" s="208"/>
      <c r="CA179" s="208"/>
      <c r="CB179" s="208"/>
      <c r="CC179" s="208"/>
      <c r="CD179" s="208"/>
      <c r="CE179" s="208"/>
      <c r="CF179" s="208"/>
      <c r="CG179" s="208"/>
      <c r="CH179" s="208"/>
      <c r="CI179" s="208"/>
      <c r="CJ179" s="208"/>
      <c r="CK179" s="208"/>
      <c r="CL179" s="208"/>
      <c r="CM179" s="208"/>
      <c r="CN179" s="208"/>
      <c r="CO179" s="208"/>
      <c r="CP179" s="208"/>
      <c r="CQ179" s="208"/>
      <c r="CR179" s="208"/>
      <c r="CS179" s="208"/>
      <c r="CT179" s="208"/>
      <c r="CU179" s="208"/>
      <c r="CV179" s="208"/>
      <c r="CW179" s="208"/>
      <c r="CX179" s="208"/>
      <c r="CY179" s="208"/>
      <c r="CZ179" s="208"/>
      <c r="DA179" s="208"/>
      <c r="DB179" s="208"/>
      <c r="DC179" s="208"/>
      <c r="DD179" s="208"/>
      <c r="DE179" s="208"/>
      <c r="DF179" s="208"/>
    </row>
    <row x14ac:dyDescent="0.25" r="180" customHeight="1" ht="19.5">
      <c r="A180" s="2"/>
      <c r="B180" s="208"/>
      <c r="C180" s="208"/>
      <c r="D180" s="2"/>
      <c r="E180" s="208"/>
      <c r="F180" s="296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"/>
      <c r="Y180" s="208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208"/>
      <c r="BT180" s="208"/>
      <c r="BU180" s="208"/>
      <c r="BV180" s="208"/>
      <c r="BW180" s="208"/>
      <c r="BX180" s="208"/>
      <c r="BY180" s="208"/>
      <c r="BZ180" s="208"/>
      <c r="CA180" s="208"/>
      <c r="CB180" s="208"/>
      <c r="CC180" s="208"/>
      <c r="CD180" s="208"/>
      <c r="CE180" s="208"/>
      <c r="CF180" s="208"/>
      <c r="CG180" s="208"/>
      <c r="CH180" s="208"/>
      <c r="CI180" s="208"/>
      <c r="CJ180" s="208"/>
      <c r="CK180" s="208"/>
      <c r="CL180" s="208"/>
      <c r="CM180" s="208"/>
      <c r="CN180" s="208"/>
      <c r="CO180" s="208"/>
      <c r="CP180" s="208"/>
      <c r="CQ180" s="208"/>
      <c r="CR180" s="208"/>
      <c r="CS180" s="208"/>
      <c r="CT180" s="208"/>
      <c r="CU180" s="208"/>
      <c r="CV180" s="208"/>
      <c r="CW180" s="208"/>
      <c r="CX180" s="208"/>
      <c r="CY180" s="208"/>
      <c r="CZ180" s="208"/>
      <c r="DA180" s="208"/>
      <c r="DB180" s="208"/>
      <c r="DC180" s="208"/>
      <c r="DD180" s="208"/>
      <c r="DE180" s="208"/>
      <c r="DF180" s="208"/>
    </row>
    <row x14ac:dyDescent="0.25" r="181" customHeight="1" ht="19.5">
      <c r="A181" s="2"/>
      <c r="B181" s="208"/>
      <c r="C181" s="208"/>
      <c r="D181" s="2"/>
      <c r="E181" s="208"/>
      <c r="F181" s="296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8"/>
      <c r="BF181" s="208"/>
      <c r="BG181" s="208"/>
      <c r="BH181" s="208"/>
      <c r="BI181" s="208"/>
      <c r="BJ181" s="208"/>
      <c r="BK181" s="208"/>
      <c r="BL181" s="208"/>
      <c r="BM181" s="208"/>
      <c r="BN181" s="208"/>
      <c r="BO181" s="208"/>
      <c r="BP181" s="208"/>
      <c r="BQ181" s="208"/>
      <c r="BR181" s="208"/>
      <c r="BS181" s="208"/>
      <c r="BT181" s="208"/>
      <c r="BU181" s="208"/>
      <c r="BV181" s="208"/>
      <c r="BW181" s="208"/>
      <c r="BX181" s="208"/>
      <c r="BY181" s="208"/>
      <c r="BZ181" s="208"/>
      <c r="CA181" s="208"/>
      <c r="CB181" s="208"/>
      <c r="CC181" s="208"/>
      <c r="CD181" s="208"/>
      <c r="CE181" s="208"/>
      <c r="CF181" s="208"/>
      <c r="CG181" s="208"/>
      <c r="CH181" s="208"/>
      <c r="CI181" s="208"/>
      <c r="CJ181" s="208"/>
      <c r="CK181" s="208"/>
      <c r="CL181" s="208"/>
      <c r="CM181" s="208"/>
      <c r="CN181" s="208"/>
      <c r="CO181" s="208"/>
      <c r="CP181" s="208"/>
      <c r="CQ181" s="208"/>
      <c r="CR181" s="208"/>
      <c r="CS181" s="208"/>
      <c r="CT181" s="208"/>
      <c r="CU181" s="208"/>
      <c r="CV181" s="208"/>
      <c r="CW181" s="208"/>
      <c r="CX181" s="208"/>
      <c r="CY181" s="208"/>
      <c r="CZ181" s="208"/>
      <c r="DA181" s="208"/>
      <c r="DB181" s="208"/>
      <c r="DC181" s="208"/>
      <c r="DD181" s="208"/>
      <c r="DE181" s="208"/>
      <c r="DF181" s="208"/>
    </row>
    <row x14ac:dyDescent="0.25" r="182" customHeight="1" ht="19.5">
      <c r="A182" s="2"/>
      <c r="B182" s="208"/>
      <c r="C182" s="208"/>
      <c r="D182" s="2"/>
      <c r="E182" s="208"/>
      <c r="F182" s="296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208"/>
      <c r="BJ182" s="208"/>
      <c r="BK182" s="208"/>
      <c r="BL182" s="208"/>
      <c r="BM182" s="208"/>
      <c r="BN182" s="208"/>
      <c r="BO182" s="208"/>
      <c r="BP182" s="208"/>
      <c r="BQ182" s="208"/>
      <c r="BR182" s="208"/>
      <c r="BS182" s="208"/>
      <c r="BT182" s="208"/>
      <c r="BU182" s="208"/>
      <c r="BV182" s="208"/>
      <c r="BW182" s="208"/>
      <c r="BX182" s="208"/>
      <c r="BY182" s="208"/>
      <c r="BZ182" s="208"/>
      <c r="CA182" s="208"/>
      <c r="CB182" s="208"/>
      <c r="CC182" s="208"/>
      <c r="CD182" s="208"/>
      <c r="CE182" s="208"/>
      <c r="CF182" s="208"/>
      <c r="CG182" s="208"/>
      <c r="CH182" s="208"/>
      <c r="CI182" s="208"/>
      <c r="CJ182" s="208"/>
      <c r="CK182" s="208"/>
      <c r="CL182" s="208"/>
      <c r="CM182" s="208"/>
      <c r="CN182" s="208"/>
      <c r="CO182" s="208"/>
      <c r="CP182" s="208"/>
      <c r="CQ182" s="208"/>
      <c r="CR182" s="208"/>
      <c r="CS182" s="208"/>
      <c r="CT182" s="208"/>
      <c r="CU182" s="208"/>
      <c r="CV182" s="208"/>
      <c r="CW182" s="208"/>
      <c r="CX182" s="208"/>
      <c r="CY182" s="208"/>
      <c r="CZ182" s="208"/>
      <c r="DA182" s="208"/>
      <c r="DB182" s="208"/>
      <c r="DC182" s="208"/>
      <c r="DD182" s="208"/>
      <c r="DE182" s="208"/>
      <c r="DF182" s="208"/>
    </row>
    <row x14ac:dyDescent="0.25" r="183" customHeight="1" ht="19.5">
      <c r="A183" s="2"/>
      <c r="B183" s="208"/>
      <c r="C183" s="208"/>
      <c r="D183" s="2"/>
      <c r="E183" s="208"/>
      <c r="F183" s="296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"/>
      <c r="Y183" s="208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208"/>
      <c r="BJ183" s="208"/>
      <c r="BK183" s="208"/>
      <c r="BL183" s="208"/>
      <c r="BM183" s="208"/>
      <c r="BN183" s="208"/>
      <c r="BO183" s="208"/>
      <c r="BP183" s="208"/>
      <c r="BQ183" s="208"/>
      <c r="BR183" s="208"/>
      <c r="BS183" s="208"/>
      <c r="BT183" s="208"/>
      <c r="BU183" s="208"/>
      <c r="BV183" s="208"/>
      <c r="BW183" s="208"/>
      <c r="BX183" s="208"/>
      <c r="BY183" s="208"/>
      <c r="BZ183" s="208"/>
      <c r="CA183" s="208"/>
      <c r="CB183" s="208"/>
      <c r="CC183" s="208"/>
      <c r="CD183" s="208"/>
      <c r="CE183" s="208"/>
      <c r="CF183" s="208"/>
      <c r="CG183" s="208"/>
      <c r="CH183" s="208"/>
      <c r="CI183" s="208"/>
      <c r="CJ183" s="208"/>
      <c r="CK183" s="208"/>
      <c r="CL183" s="208"/>
      <c r="CM183" s="208"/>
      <c r="CN183" s="208"/>
      <c r="CO183" s="208"/>
      <c r="CP183" s="208"/>
      <c r="CQ183" s="208"/>
      <c r="CR183" s="208"/>
      <c r="CS183" s="208"/>
      <c r="CT183" s="208"/>
      <c r="CU183" s="208"/>
      <c r="CV183" s="208"/>
      <c r="CW183" s="208"/>
      <c r="CX183" s="208"/>
      <c r="CY183" s="208"/>
      <c r="CZ183" s="208"/>
      <c r="DA183" s="208"/>
      <c r="DB183" s="208"/>
      <c r="DC183" s="208"/>
      <c r="DD183" s="208"/>
      <c r="DE183" s="208"/>
      <c r="DF183" s="208"/>
    </row>
    <row x14ac:dyDescent="0.25" r="184" customHeight="1" ht="19.5">
      <c r="A184" s="2"/>
      <c r="B184" s="208"/>
      <c r="C184" s="208"/>
      <c r="D184" s="2"/>
      <c r="E184" s="208"/>
      <c r="F184" s="296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"/>
      <c r="Y184" s="208"/>
      <c r="Z184" s="208"/>
      <c r="AA184" s="208"/>
      <c r="AB184" s="208"/>
      <c r="AC184" s="208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  <c r="CL184" s="208"/>
      <c r="CM184" s="208"/>
      <c r="CN184" s="208"/>
      <c r="CO184" s="208"/>
      <c r="CP184" s="208"/>
      <c r="CQ184" s="208"/>
      <c r="CR184" s="208"/>
      <c r="CS184" s="208"/>
      <c r="CT184" s="208"/>
      <c r="CU184" s="208"/>
      <c r="CV184" s="208"/>
      <c r="CW184" s="208"/>
      <c r="CX184" s="208"/>
      <c r="CY184" s="208"/>
      <c r="CZ184" s="208"/>
      <c r="DA184" s="208"/>
      <c r="DB184" s="208"/>
      <c r="DC184" s="208"/>
      <c r="DD184" s="208"/>
      <c r="DE184" s="208"/>
      <c r="DF184" s="208"/>
    </row>
    <row x14ac:dyDescent="0.25" r="185" customHeight="1" ht="19.5">
      <c r="A185" s="2"/>
      <c r="B185" s="208"/>
      <c r="C185" s="208"/>
      <c r="D185" s="2"/>
      <c r="E185" s="208"/>
      <c r="F185" s="296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"/>
      <c r="Y185" s="208"/>
      <c r="Z185" s="208"/>
      <c r="AA185" s="208"/>
      <c r="AB185" s="208"/>
      <c r="AC185" s="208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208"/>
      <c r="BJ185" s="208"/>
      <c r="BK185" s="208"/>
      <c r="BL185" s="208"/>
      <c r="BM185" s="208"/>
      <c r="BN185" s="208"/>
      <c r="BO185" s="208"/>
      <c r="BP185" s="208"/>
      <c r="BQ185" s="208"/>
      <c r="BR185" s="208"/>
      <c r="BS185" s="208"/>
      <c r="BT185" s="208"/>
      <c r="BU185" s="208"/>
      <c r="BV185" s="208"/>
      <c r="BW185" s="208"/>
      <c r="BX185" s="208"/>
      <c r="BY185" s="208"/>
      <c r="BZ185" s="208"/>
      <c r="CA185" s="208"/>
      <c r="CB185" s="208"/>
      <c r="CC185" s="208"/>
      <c r="CD185" s="208"/>
      <c r="CE185" s="208"/>
      <c r="CF185" s="208"/>
      <c r="CG185" s="208"/>
      <c r="CH185" s="208"/>
      <c r="CI185" s="208"/>
      <c r="CJ185" s="208"/>
      <c r="CK185" s="208"/>
      <c r="CL185" s="208"/>
      <c r="CM185" s="208"/>
      <c r="CN185" s="208"/>
      <c r="CO185" s="208"/>
      <c r="CP185" s="208"/>
      <c r="CQ185" s="208"/>
      <c r="CR185" s="208"/>
      <c r="CS185" s="208"/>
      <c r="CT185" s="208"/>
      <c r="CU185" s="208"/>
      <c r="CV185" s="208"/>
      <c r="CW185" s="208"/>
      <c r="CX185" s="208"/>
      <c r="CY185" s="208"/>
      <c r="CZ185" s="208"/>
      <c r="DA185" s="208"/>
      <c r="DB185" s="208"/>
      <c r="DC185" s="208"/>
      <c r="DD185" s="208"/>
      <c r="DE185" s="208"/>
      <c r="DF185" s="208"/>
    </row>
    <row x14ac:dyDescent="0.25" r="186" customHeight="1" ht="19.5">
      <c r="A186" s="2"/>
      <c r="B186" s="208"/>
      <c r="C186" s="208"/>
      <c r="D186" s="2"/>
      <c r="E186" s="208"/>
      <c r="F186" s="296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208"/>
      <c r="BJ186" s="208"/>
      <c r="BK186" s="208"/>
      <c r="BL186" s="208"/>
      <c r="BM186" s="208"/>
      <c r="BN186" s="208"/>
      <c r="BO186" s="208"/>
      <c r="BP186" s="208"/>
      <c r="BQ186" s="208"/>
      <c r="BR186" s="208"/>
      <c r="BS186" s="208"/>
      <c r="BT186" s="208"/>
      <c r="BU186" s="208"/>
      <c r="BV186" s="208"/>
      <c r="BW186" s="208"/>
      <c r="BX186" s="208"/>
      <c r="BY186" s="208"/>
      <c r="BZ186" s="208"/>
      <c r="CA186" s="208"/>
      <c r="CB186" s="208"/>
      <c r="CC186" s="208"/>
      <c r="CD186" s="208"/>
      <c r="CE186" s="208"/>
      <c r="CF186" s="208"/>
      <c r="CG186" s="208"/>
      <c r="CH186" s="208"/>
      <c r="CI186" s="208"/>
      <c r="CJ186" s="208"/>
      <c r="CK186" s="208"/>
      <c r="CL186" s="208"/>
      <c r="CM186" s="208"/>
      <c r="CN186" s="208"/>
      <c r="CO186" s="208"/>
      <c r="CP186" s="208"/>
      <c r="CQ186" s="208"/>
      <c r="CR186" s="208"/>
      <c r="CS186" s="208"/>
      <c r="CT186" s="208"/>
      <c r="CU186" s="208"/>
      <c r="CV186" s="208"/>
      <c r="CW186" s="208"/>
      <c r="CX186" s="208"/>
      <c r="CY186" s="208"/>
      <c r="CZ186" s="208"/>
      <c r="DA186" s="208"/>
      <c r="DB186" s="208"/>
      <c r="DC186" s="208"/>
      <c r="DD186" s="208"/>
      <c r="DE186" s="208"/>
      <c r="DF186" s="208"/>
    </row>
    <row x14ac:dyDescent="0.25" r="187" customHeight="1" ht="19.5">
      <c r="A187" s="2"/>
      <c r="B187" s="208"/>
      <c r="C187" s="208"/>
      <c r="D187" s="2"/>
      <c r="E187" s="208"/>
      <c r="F187" s="296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8"/>
      <c r="BF187" s="208"/>
      <c r="BG187" s="208"/>
      <c r="BH187" s="208"/>
      <c r="BI187" s="208"/>
      <c r="BJ187" s="208"/>
      <c r="BK187" s="208"/>
      <c r="BL187" s="208"/>
      <c r="BM187" s="208"/>
      <c r="BN187" s="208"/>
      <c r="BO187" s="208"/>
      <c r="BP187" s="208"/>
      <c r="BQ187" s="208"/>
      <c r="BR187" s="208"/>
      <c r="BS187" s="208"/>
      <c r="BT187" s="208"/>
      <c r="BU187" s="208"/>
      <c r="BV187" s="208"/>
      <c r="BW187" s="208"/>
      <c r="BX187" s="208"/>
      <c r="BY187" s="208"/>
      <c r="BZ187" s="208"/>
      <c r="CA187" s="208"/>
      <c r="CB187" s="208"/>
      <c r="CC187" s="208"/>
      <c r="CD187" s="208"/>
      <c r="CE187" s="208"/>
      <c r="CF187" s="208"/>
      <c r="CG187" s="208"/>
      <c r="CH187" s="208"/>
      <c r="CI187" s="208"/>
      <c r="CJ187" s="208"/>
      <c r="CK187" s="208"/>
      <c r="CL187" s="208"/>
      <c r="CM187" s="208"/>
      <c r="CN187" s="208"/>
      <c r="CO187" s="208"/>
      <c r="CP187" s="208"/>
      <c r="CQ187" s="208"/>
      <c r="CR187" s="208"/>
      <c r="CS187" s="208"/>
      <c r="CT187" s="208"/>
      <c r="CU187" s="208"/>
      <c r="CV187" s="208"/>
      <c r="CW187" s="208"/>
      <c r="CX187" s="208"/>
      <c r="CY187" s="208"/>
      <c r="CZ187" s="208"/>
      <c r="DA187" s="208"/>
      <c r="DB187" s="208"/>
      <c r="DC187" s="208"/>
      <c r="DD187" s="208"/>
      <c r="DE187" s="208"/>
      <c r="DF187" s="208"/>
    </row>
    <row x14ac:dyDescent="0.25" r="188" customHeight="1" ht="19.5">
      <c r="A188" s="2"/>
      <c r="B188" s="208"/>
      <c r="C188" s="208"/>
      <c r="D188" s="2"/>
      <c r="E188" s="208"/>
      <c r="F188" s="296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  <c r="CL188" s="208"/>
      <c r="CM188" s="208"/>
      <c r="CN188" s="208"/>
      <c r="CO188" s="208"/>
      <c r="CP188" s="208"/>
      <c r="CQ188" s="208"/>
      <c r="CR188" s="208"/>
      <c r="CS188" s="208"/>
      <c r="CT188" s="208"/>
      <c r="CU188" s="208"/>
      <c r="CV188" s="208"/>
      <c r="CW188" s="208"/>
      <c r="CX188" s="208"/>
      <c r="CY188" s="208"/>
      <c r="CZ188" s="208"/>
      <c r="DA188" s="208"/>
      <c r="DB188" s="208"/>
      <c r="DC188" s="208"/>
      <c r="DD188" s="208"/>
      <c r="DE188" s="208"/>
      <c r="DF188" s="208"/>
    </row>
    <row x14ac:dyDescent="0.25" r="189" customHeight="1" ht="19.5">
      <c r="A189" s="2"/>
      <c r="B189" s="208"/>
      <c r="C189" s="208"/>
      <c r="D189" s="2"/>
      <c r="E189" s="208"/>
      <c r="F189" s="296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8"/>
      <c r="BF189" s="208"/>
      <c r="BG189" s="208"/>
      <c r="BH189" s="208"/>
      <c r="BI189" s="208"/>
      <c r="BJ189" s="208"/>
      <c r="BK189" s="208"/>
      <c r="BL189" s="208"/>
      <c r="BM189" s="208"/>
      <c r="BN189" s="208"/>
      <c r="BO189" s="208"/>
      <c r="BP189" s="208"/>
      <c r="BQ189" s="208"/>
      <c r="BR189" s="208"/>
      <c r="BS189" s="208"/>
      <c r="BT189" s="208"/>
      <c r="BU189" s="208"/>
      <c r="BV189" s="208"/>
      <c r="BW189" s="208"/>
      <c r="BX189" s="208"/>
      <c r="BY189" s="208"/>
      <c r="BZ189" s="208"/>
      <c r="CA189" s="208"/>
      <c r="CB189" s="208"/>
      <c r="CC189" s="208"/>
      <c r="CD189" s="208"/>
      <c r="CE189" s="208"/>
      <c r="CF189" s="208"/>
      <c r="CG189" s="208"/>
      <c r="CH189" s="208"/>
      <c r="CI189" s="208"/>
      <c r="CJ189" s="208"/>
      <c r="CK189" s="208"/>
      <c r="CL189" s="208"/>
      <c r="CM189" s="208"/>
      <c r="CN189" s="208"/>
      <c r="CO189" s="208"/>
      <c r="CP189" s="208"/>
      <c r="CQ189" s="208"/>
      <c r="CR189" s="208"/>
      <c r="CS189" s="208"/>
      <c r="CT189" s="208"/>
      <c r="CU189" s="208"/>
      <c r="CV189" s="208"/>
      <c r="CW189" s="208"/>
      <c r="CX189" s="208"/>
      <c r="CY189" s="208"/>
      <c r="CZ189" s="208"/>
      <c r="DA189" s="208"/>
      <c r="DB189" s="208"/>
      <c r="DC189" s="208"/>
      <c r="DD189" s="208"/>
      <c r="DE189" s="208"/>
      <c r="DF189" s="208"/>
    </row>
    <row x14ac:dyDescent="0.25" r="190" customHeight="1" ht="19.5">
      <c r="A190" s="2"/>
      <c r="B190" s="208"/>
      <c r="C190" s="208"/>
      <c r="D190" s="2"/>
      <c r="E190" s="208"/>
      <c r="F190" s="296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8"/>
      <c r="BN190" s="208"/>
      <c r="BO190" s="208"/>
      <c r="BP190" s="208"/>
      <c r="BQ190" s="208"/>
      <c r="BR190" s="208"/>
      <c r="BS190" s="208"/>
      <c r="BT190" s="208"/>
      <c r="BU190" s="208"/>
      <c r="BV190" s="208"/>
      <c r="BW190" s="208"/>
      <c r="BX190" s="208"/>
      <c r="BY190" s="208"/>
      <c r="BZ190" s="208"/>
      <c r="CA190" s="208"/>
      <c r="CB190" s="208"/>
      <c r="CC190" s="208"/>
      <c r="CD190" s="208"/>
      <c r="CE190" s="208"/>
      <c r="CF190" s="208"/>
      <c r="CG190" s="208"/>
      <c r="CH190" s="208"/>
      <c r="CI190" s="208"/>
      <c r="CJ190" s="208"/>
      <c r="CK190" s="208"/>
      <c r="CL190" s="208"/>
      <c r="CM190" s="208"/>
      <c r="CN190" s="208"/>
      <c r="CO190" s="208"/>
      <c r="CP190" s="208"/>
      <c r="CQ190" s="208"/>
      <c r="CR190" s="208"/>
      <c r="CS190" s="208"/>
      <c r="CT190" s="208"/>
      <c r="CU190" s="208"/>
      <c r="CV190" s="208"/>
      <c r="CW190" s="208"/>
      <c r="CX190" s="208"/>
      <c r="CY190" s="208"/>
      <c r="CZ190" s="208"/>
      <c r="DA190" s="208"/>
      <c r="DB190" s="208"/>
      <c r="DC190" s="208"/>
      <c r="DD190" s="208"/>
      <c r="DE190" s="208"/>
      <c r="DF190" s="208"/>
    </row>
    <row x14ac:dyDescent="0.25" r="191" customHeight="1" ht="19.5">
      <c r="A191" s="2"/>
      <c r="B191" s="208"/>
      <c r="C191" s="208"/>
      <c r="D191" s="2"/>
      <c r="E191" s="208"/>
      <c r="F191" s="296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8"/>
      <c r="BN191" s="208"/>
      <c r="BO191" s="208"/>
      <c r="BP191" s="208"/>
      <c r="BQ191" s="208"/>
      <c r="BR191" s="208"/>
      <c r="BS191" s="208"/>
      <c r="BT191" s="208"/>
      <c r="BU191" s="208"/>
      <c r="BV191" s="208"/>
      <c r="BW191" s="208"/>
      <c r="BX191" s="208"/>
      <c r="BY191" s="208"/>
      <c r="BZ191" s="208"/>
      <c r="CA191" s="208"/>
      <c r="CB191" s="208"/>
      <c r="CC191" s="208"/>
      <c r="CD191" s="208"/>
      <c r="CE191" s="208"/>
      <c r="CF191" s="208"/>
      <c r="CG191" s="208"/>
      <c r="CH191" s="208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x14ac:dyDescent="0.25" r="192" customHeight="1" ht="19.5">
      <c r="A192" s="2"/>
      <c r="B192" s="208"/>
      <c r="C192" s="208"/>
      <c r="D192" s="2"/>
      <c r="E192" s="208"/>
      <c r="F192" s="296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x14ac:dyDescent="0.25" r="193" customHeight="1" ht="19.5">
      <c r="A193" s="2"/>
      <c r="B193" s="208"/>
      <c r="C193" s="208"/>
      <c r="D193" s="2"/>
      <c r="E193" s="208"/>
      <c r="F193" s="296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8"/>
      <c r="BN193" s="208"/>
      <c r="BO193" s="208"/>
      <c r="BP193" s="208"/>
      <c r="BQ193" s="208"/>
      <c r="BR193" s="208"/>
      <c r="BS193" s="208"/>
      <c r="BT193" s="208"/>
      <c r="BU193" s="208"/>
      <c r="BV193" s="208"/>
      <c r="BW193" s="208"/>
      <c r="BX193" s="208"/>
      <c r="BY193" s="208"/>
      <c r="BZ193" s="208"/>
      <c r="CA193" s="208"/>
      <c r="CB193" s="208"/>
      <c r="CC193" s="208"/>
      <c r="CD193" s="208"/>
      <c r="CE193" s="208"/>
      <c r="CF193" s="208"/>
      <c r="CG193" s="208"/>
      <c r="CH193" s="208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x14ac:dyDescent="0.25" r="194" customHeight="1" ht="19.5">
      <c r="A194" s="2"/>
      <c r="B194" s="208"/>
      <c r="C194" s="208"/>
      <c r="D194" s="2"/>
      <c r="E194" s="208"/>
      <c r="F194" s="296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08"/>
      <c r="BS194" s="208"/>
      <c r="BT194" s="208"/>
      <c r="BU194" s="208"/>
      <c r="BV194" s="208"/>
      <c r="BW194" s="208"/>
      <c r="BX194" s="208"/>
      <c r="BY194" s="208"/>
      <c r="BZ194" s="208"/>
      <c r="CA194" s="208"/>
      <c r="CB194" s="208"/>
      <c r="CC194" s="208"/>
      <c r="CD194" s="208"/>
      <c r="CE194" s="208"/>
      <c r="CF194" s="208"/>
      <c r="CG194" s="208"/>
      <c r="CH194" s="208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x14ac:dyDescent="0.25" r="195" customHeight="1" ht="19.5">
      <c r="A195" s="2"/>
      <c r="B195" s="208"/>
      <c r="C195" s="208"/>
      <c r="D195" s="2"/>
      <c r="E195" s="208"/>
      <c r="F195" s="296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208"/>
      <c r="BT195" s="208"/>
      <c r="BU195" s="208"/>
      <c r="BV195" s="208"/>
      <c r="BW195" s="208"/>
      <c r="BX195" s="208"/>
      <c r="BY195" s="208"/>
      <c r="BZ195" s="208"/>
      <c r="CA195" s="208"/>
      <c r="CB195" s="208"/>
      <c r="CC195" s="208"/>
      <c r="CD195" s="208"/>
      <c r="CE195" s="208"/>
      <c r="CF195" s="208"/>
      <c r="CG195" s="208"/>
      <c r="CH195" s="208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x14ac:dyDescent="0.25" r="196" customHeight="1" ht="19.5">
      <c r="A196" s="2"/>
      <c r="B196" s="208"/>
      <c r="C196" s="208"/>
      <c r="D196" s="2"/>
      <c r="E196" s="208"/>
      <c r="F196" s="296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x14ac:dyDescent="0.25" r="197" customHeight="1" ht="19.5">
      <c r="A197" s="2"/>
      <c r="B197" s="208"/>
      <c r="C197" s="208"/>
      <c r="D197" s="2"/>
      <c r="E197" s="208"/>
      <c r="F197" s="296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/>
      <c r="BN197" s="208"/>
      <c r="BO197" s="208"/>
      <c r="BP197" s="208"/>
      <c r="BQ197" s="208"/>
      <c r="BR197" s="208"/>
      <c r="BS197" s="208"/>
      <c r="BT197" s="208"/>
      <c r="BU197" s="208"/>
      <c r="BV197" s="208"/>
      <c r="BW197" s="208"/>
      <c r="BX197" s="208"/>
      <c r="BY197" s="208"/>
      <c r="BZ197" s="208"/>
      <c r="CA197" s="208"/>
      <c r="CB197" s="208"/>
      <c r="CC197" s="208"/>
      <c r="CD197" s="208"/>
      <c r="CE197" s="208"/>
      <c r="CF197" s="208"/>
      <c r="CG197" s="208"/>
      <c r="CH197" s="208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x14ac:dyDescent="0.25" r="198" customHeight="1" ht="19.5">
      <c r="A198" s="2"/>
      <c r="B198" s="208"/>
      <c r="C198" s="208"/>
      <c r="D198" s="2"/>
      <c r="E198" s="208"/>
      <c r="F198" s="296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"/>
      <c r="Y198" s="208"/>
      <c r="Z198" s="208"/>
      <c r="AA198" s="208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8"/>
      <c r="BP198" s="208"/>
      <c r="BQ198" s="208"/>
      <c r="BR198" s="208"/>
      <c r="BS198" s="208"/>
      <c r="BT198" s="208"/>
      <c r="BU198" s="208"/>
      <c r="BV198" s="208"/>
      <c r="BW198" s="208"/>
      <c r="BX198" s="208"/>
      <c r="BY198" s="208"/>
      <c r="BZ198" s="208"/>
      <c r="CA198" s="208"/>
      <c r="CB198" s="208"/>
      <c r="CC198" s="208"/>
      <c r="CD198" s="208"/>
      <c r="CE198" s="208"/>
      <c r="CF198" s="208"/>
      <c r="CG198" s="208"/>
      <c r="CH198" s="208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x14ac:dyDescent="0.25" r="199" customHeight="1" ht="19.5">
      <c r="A199" s="2"/>
      <c r="B199" s="208"/>
      <c r="C199" s="208"/>
      <c r="D199" s="2"/>
      <c r="E199" s="208"/>
      <c r="F199" s="296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"/>
      <c r="Y199" s="208"/>
      <c r="Z199" s="208"/>
      <c r="AA199" s="208"/>
      <c r="AB199" s="208"/>
      <c r="AC199" s="208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8"/>
      <c r="BS199" s="208"/>
      <c r="BT199" s="208"/>
      <c r="BU199" s="208"/>
      <c r="BV199" s="208"/>
      <c r="BW199" s="208"/>
      <c r="BX199" s="208"/>
      <c r="BY199" s="208"/>
      <c r="BZ199" s="208"/>
      <c r="CA199" s="208"/>
      <c r="CB199" s="208"/>
      <c r="CC199" s="208"/>
      <c r="CD199" s="208"/>
      <c r="CE199" s="208"/>
      <c r="CF199" s="208"/>
      <c r="CG199" s="208"/>
      <c r="CH199" s="208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x14ac:dyDescent="0.25" r="200" customHeight="1" ht="19.5">
      <c r="A200" s="2"/>
      <c r="B200" s="208"/>
      <c r="C200" s="208"/>
      <c r="D200" s="2"/>
      <c r="E200" s="208"/>
      <c r="F200" s="296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"/>
      <c r="Y200" s="208"/>
      <c r="Z200" s="208"/>
      <c r="AA200" s="208"/>
      <c r="AB200" s="208"/>
      <c r="AC200" s="208"/>
      <c r="AD200" s="208"/>
      <c r="AE200" s="208"/>
      <c r="AF200" s="208"/>
      <c r="AG200" s="208"/>
      <c r="AH200" s="208"/>
      <c r="AI200" s="208"/>
      <c r="AJ200" s="208"/>
      <c r="AK200" s="208"/>
      <c r="AL200" s="208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x14ac:dyDescent="0.25" r="201" customHeight="1" ht="19.5">
      <c r="A201" s="2"/>
      <c r="B201" s="208"/>
      <c r="C201" s="208"/>
      <c r="D201" s="2"/>
      <c r="E201" s="208"/>
      <c r="F201" s="296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"/>
      <c r="Y201" s="208"/>
      <c r="Z201" s="208"/>
      <c r="AA201" s="208"/>
      <c r="AB201" s="208"/>
      <c r="AC201" s="208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208"/>
      <c r="BJ201" s="208"/>
      <c r="BK201" s="208"/>
      <c r="BL201" s="208"/>
      <c r="BM201" s="208"/>
      <c r="BN201" s="208"/>
      <c r="BO201" s="208"/>
      <c r="BP201" s="208"/>
      <c r="BQ201" s="208"/>
      <c r="BR201" s="208"/>
      <c r="BS201" s="208"/>
      <c r="BT201" s="208"/>
      <c r="BU201" s="208"/>
      <c r="BV201" s="208"/>
      <c r="BW201" s="208"/>
      <c r="BX201" s="208"/>
      <c r="BY201" s="208"/>
      <c r="BZ201" s="208"/>
      <c r="CA201" s="208"/>
      <c r="CB201" s="208"/>
      <c r="CC201" s="208"/>
      <c r="CD201" s="208"/>
      <c r="CE201" s="208"/>
      <c r="CF201" s="208"/>
      <c r="CG201" s="208"/>
      <c r="CH201" s="208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x14ac:dyDescent="0.25" r="202" customHeight="1" ht="19.5">
      <c r="A202" s="2"/>
      <c r="B202" s="208"/>
      <c r="C202" s="208"/>
      <c r="D202" s="2"/>
      <c r="E202" s="208"/>
      <c r="F202" s="296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208"/>
      <c r="BJ202" s="208"/>
      <c r="BK202" s="208"/>
      <c r="BL202" s="208"/>
      <c r="BM202" s="208"/>
      <c r="BN202" s="208"/>
      <c r="BO202" s="208"/>
      <c r="BP202" s="208"/>
      <c r="BQ202" s="208"/>
      <c r="BR202" s="208"/>
      <c r="BS202" s="208"/>
      <c r="BT202" s="208"/>
      <c r="BU202" s="208"/>
      <c r="BV202" s="208"/>
      <c r="BW202" s="208"/>
      <c r="BX202" s="208"/>
      <c r="BY202" s="208"/>
      <c r="BZ202" s="208"/>
      <c r="CA202" s="208"/>
      <c r="CB202" s="208"/>
      <c r="CC202" s="208"/>
      <c r="CD202" s="208"/>
      <c r="CE202" s="208"/>
      <c r="CF202" s="208"/>
      <c r="CG202" s="208"/>
      <c r="CH202" s="208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x14ac:dyDescent="0.25" r="203" customHeight="1" ht="19.5">
      <c r="A203" s="2"/>
      <c r="B203" s="208"/>
      <c r="C203" s="208"/>
      <c r="D203" s="2"/>
      <c r="E203" s="208"/>
      <c r="F203" s="296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8"/>
      <c r="BN203" s="208"/>
      <c r="BO203" s="208"/>
      <c r="BP203" s="208"/>
      <c r="BQ203" s="208"/>
      <c r="BR203" s="208"/>
      <c r="BS203" s="208"/>
      <c r="BT203" s="208"/>
      <c r="BU203" s="208"/>
      <c r="BV203" s="208"/>
      <c r="BW203" s="208"/>
      <c r="BX203" s="208"/>
      <c r="BY203" s="208"/>
      <c r="BZ203" s="208"/>
      <c r="CA203" s="208"/>
      <c r="CB203" s="208"/>
      <c r="CC203" s="208"/>
      <c r="CD203" s="208"/>
      <c r="CE203" s="208"/>
      <c r="CF203" s="208"/>
      <c r="CG203" s="208"/>
      <c r="CH203" s="208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x14ac:dyDescent="0.25" r="204" customHeight="1" ht="19.5">
      <c r="A204" s="2"/>
      <c r="B204" s="208"/>
      <c r="C204" s="208"/>
      <c r="D204" s="2"/>
      <c r="E204" s="208"/>
      <c r="F204" s="296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x14ac:dyDescent="0.25" r="205" customHeight="1" ht="19.5">
      <c r="A205" s="2"/>
      <c r="B205" s="208"/>
      <c r="C205" s="208"/>
      <c r="D205" s="2"/>
      <c r="E205" s="208"/>
      <c r="F205" s="296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08"/>
      <c r="BS205" s="208"/>
      <c r="BT205" s="208"/>
      <c r="BU205" s="208"/>
      <c r="BV205" s="208"/>
      <c r="BW205" s="208"/>
      <c r="BX205" s="208"/>
      <c r="BY205" s="208"/>
      <c r="BZ205" s="208"/>
      <c r="CA205" s="208"/>
      <c r="CB205" s="208"/>
      <c r="CC205" s="208"/>
      <c r="CD205" s="208"/>
      <c r="CE205" s="208"/>
      <c r="CF205" s="208"/>
      <c r="CG205" s="208"/>
      <c r="CH205" s="208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x14ac:dyDescent="0.25" r="206" customHeight="1" ht="19.5">
      <c r="A206" s="2"/>
      <c r="B206" s="208"/>
      <c r="C206" s="208"/>
      <c r="D206" s="2"/>
      <c r="E206" s="208"/>
      <c r="F206" s="296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8"/>
      <c r="BN206" s="208"/>
      <c r="BO206" s="208"/>
      <c r="BP206" s="208"/>
      <c r="BQ206" s="208"/>
      <c r="BR206" s="208"/>
      <c r="BS206" s="208"/>
      <c r="BT206" s="208"/>
      <c r="BU206" s="208"/>
      <c r="BV206" s="208"/>
      <c r="BW206" s="208"/>
      <c r="BX206" s="208"/>
      <c r="BY206" s="208"/>
      <c r="BZ206" s="208"/>
      <c r="CA206" s="208"/>
      <c r="CB206" s="208"/>
      <c r="CC206" s="208"/>
      <c r="CD206" s="208"/>
      <c r="CE206" s="208"/>
      <c r="CF206" s="208"/>
      <c r="CG206" s="208"/>
      <c r="CH206" s="208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x14ac:dyDescent="0.25" r="207" customHeight="1" ht="19.5">
      <c r="A207" s="2"/>
      <c r="B207" s="208"/>
      <c r="C207" s="208"/>
      <c r="D207" s="2"/>
      <c r="E207" s="208"/>
      <c r="F207" s="296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BX207" s="208"/>
      <c r="BY207" s="208"/>
      <c r="BZ207" s="208"/>
      <c r="CA207" s="208"/>
      <c r="CB207" s="208"/>
      <c r="CC207" s="208"/>
      <c r="CD207" s="208"/>
      <c r="CE207" s="208"/>
      <c r="CF207" s="208"/>
      <c r="CG207" s="208"/>
      <c r="CH207" s="208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x14ac:dyDescent="0.25" r="208" customHeight="1" ht="19.5">
      <c r="A208" s="2"/>
      <c r="B208" s="208"/>
      <c r="C208" s="208"/>
      <c r="D208" s="2"/>
      <c r="E208" s="208"/>
      <c r="F208" s="296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x14ac:dyDescent="0.25" r="209" customHeight="1" ht="19.5">
      <c r="A209" s="2"/>
      <c r="B209" s="208"/>
      <c r="C209" s="208"/>
      <c r="D209" s="2"/>
      <c r="E209" s="208"/>
      <c r="F209" s="296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BX209" s="208"/>
      <c r="BY209" s="208"/>
      <c r="BZ209" s="208"/>
      <c r="CA209" s="208"/>
      <c r="CB209" s="208"/>
      <c r="CC209" s="208"/>
      <c r="CD209" s="208"/>
      <c r="CE209" s="208"/>
      <c r="CF209" s="208"/>
      <c r="CG209" s="208"/>
      <c r="CH209" s="208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x14ac:dyDescent="0.25" r="210" customHeight="1" ht="19.5">
      <c r="A210" s="2"/>
      <c r="B210" s="208"/>
      <c r="C210" s="208"/>
      <c r="D210" s="2"/>
      <c r="E210" s="208"/>
      <c r="F210" s="296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8"/>
      <c r="BN210" s="208"/>
      <c r="BO210" s="208"/>
      <c r="BP210" s="208"/>
      <c r="BQ210" s="208"/>
      <c r="BR210" s="208"/>
      <c r="BS210" s="208"/>
      <c r="BT210" s="208"/>
      <c r="BU210" s="208"/>
      <c r="BV210" s="208"/>
      <c r="BW210" s="208"/>
      <c r="BX210" s="208"/>
      <c r="BY210" s="208"/>
      <c r="BZ210" s="208"/>
      <c r="CA210" s="208"/>
      <c r="CB210" s="208"/>
      <c r="CC210" s="208"/>
      <c r="CD210" s="208"/>
      <c r="CE210" s="208"/>
      <c r="CF210" s="208"/>
      <c r="CG210" s="208"/>
      <c r="CH210" s="208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x14ac:dyDescent="0.25" r="211" customHeight="1" ht="19.5">
      <c r="A211" s="2"/>
      <c r="B211" s="208"/>
      <c r="C211" s="208"/>
      <c r="D211" s="2"/>
      <c r="E211" s="208"/>
      <c r="F211" s="296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8"/>
      <c r="BN211" s="208"/>
      <c r="BO211" s="208"/>
      <c r="BP211" s="208"/>
      <c r="BQ211" s="208"/>
      <c r="BR211" s="208"/>
      <c r="BS211" s="208"/>
      <c r="BT211" s="208"/>
      <c r="BU211" s="208"/>
      <c r="BV211" s="208"/>
      <c r="BW211" s="208"/>
      <c r="BX211" s="208"/>
      <c r="BY211" s="208"/>
      <c r="BZ211" s="208"/>
      <c r="CA211" s="208"/>
      <c r="CB211" s="208"/>
      <c r="CC211" s="208"/>
      <c r="CD211" s="208"/>
      <c r="CE211" s="208"/>
      <c r="CF211" s="208"/>
      <c r="CG211" s="208"/>
      <c r="CH211" s="208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x14ac:dyDescent="0.25" r="212" customHeight="1" ht="19.5">
      <c r="A212" s="2"/>
      <c r="B212" s="208"/>
      <c r="C212" s="208"/>
      <c r="D212" s="2"/>
      <c r="E212" s="208"/>
      <c r="F212" s="296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208"/>
      <c r="BT212" s="208"/>
      <c r="BU212" s="208"/>
      <c r="BV212" s="208"/>
      <c r="BW212" s="208"/>
      <c r="BX212" s="208"/>
      <c r="BY212" s="208"/>
      <c r="BZ212" s="208"/>
      <c r="CA212" s="208"/>
      <c r="CB212" s="208"/>
      <c r="CC212" s="208"/>
      <c r="CD212" s="208"/>
      <c r="CE212" s="208"/>
      <c r="CF212" s="208"/>
      <c r="CG212" s="208"/>
      <c r="CH212" s="208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x14ac:dyDescent="0.25" r="213" customHeight="1" ht="19.5">
      <c r="A213" s="2"/>
      <c r="B213" s="208"/>
      <c r="C213" s="208"/>
      <c r="D213" s="2"/>
      <c r="E213" s="208"/>
      <c r="F213" s="296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08"/>
      <c r="BN213" s="208"/>
      <c r="BO213" s="208"/>
      <c r="BP213" s="208"/>
      <c r="BQ213" s="208"/>
      <c r="BR213" s="208"/>
      <c r="BS213" s="208"/>
      <c r="BT213" s="208"/>
      <c r="BU213" s="208"/>
      <c r="BV213" s="208"/>
      <c r="BW213" s="208"/>
      <c r="BX213" s="208"/>
      <c r="BY213" s="208"/>
      <c r="BZ213" s="208"/>
      <c r="CA213" s="208"/>
      <c r="CB213" s="208"/>
      <c r="CC213" s="208"/>
      <c r="CD213" s="208"/>
      <c r="CE213" s="208"/>
      <c r="CF213" s="208"/>
      <c r="CG213" s="208"/>
      <c r="CH213" s="208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x14ac:dyDescent="0.25" r="214" customHeight="1" ht="19.5">
      <c r="A214" s="2"/>
      <c r="B214" s="208"/>
      <c r="C214" s="208"/>
      <c r="D214" s="2"/>
      <c r="E214" s="208"/>
      <c r="F214" s="296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08"/>
      <c r="BS214" s="208"/>
      <c r="BT214" s="208"/>
      <c r="BU214" s="208"/>
      <c r="BV214" s="208"/>
      <c r="BW214" s="208"/>
      <c r="BX214" s="208"/>
      <c r="BY214" s="208"/>
      <c r="BZ214" s="208"/>
      <c r="CA214" s="208"/>
      <c r="CB214" s="208"/>
      <c r="CC214" s="208"/>
      <c r="CD214" s="208"/>
      <c r="CE214" s="208"/>
      <c r="CF214" s="208"/>
      <c r="CG214" s="208"/>
      <c r="CH214" s="208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x14ac:dyDescent="0.25" r="215" customHeight="1" ht="19.5">
      <c r="A215" s="2"/>
      <c r="B215" s="208"/>
      <c r="C215" s="208"/>
      <c r="D215" s="2"/>
      <c r="E215" s="208"/>
      <c r="F215" s="296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08"/>
      <c r="BN215" s="208"/>
      <c r="BO215" s="208"/>
      <c r="BP215" s="208"/>
      <c r="BQ215" s="208"/>
      <c r="BR215" s="208"/>
      <c r="BS215" s="208"/>
      <c r="BT215" s="208"/>
      <c r="BU215" s="208"/>
      <c r="BV215" s="208"/>
      <c r="BW215" s="208"/>
      <c r="BX215" s="208"/>
      <c r="BY215" s="208"/>
      <c r="BZ215" s="208"/>
      <c r="CA215" s="208"/>
      <c r="CB215" s="208"/>
      <c r="CC215" s="208"/>
      <c r="CD215" s="208"/>
      <c r="CE215" s="208"/>
      <c r="CF215" s="208"/>
      <c r="CG215" s="208"/>
      <c r="CH215" s="208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x14ac:dyDescent="0.25" r="216" customHeight="1" ht="19.5">
      <c r="A216" s="2"/>
      <c r="B216" s="208"/>
      <c r="C216" s="208"/>
      <c r="D216" s="2"/>
      <c r="E216" s="208"/>
      <c r="F216" s="296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x14ac:dyDescent="0.25" r="217" customHeight="1" ht="19.5">
      <c r="A217" s="2"/>
      <c r="B217" s="208"/>
      <c r="C217" s="208"/>
      <c r="D217" s="2"/>
      <c r="E217" s="208"/>
      <c r="F217" s="296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208"/>
      <c r="BJ217" s="208"/>
      <c r="BK217" s="208"/>
      <c r="BL217" s="208"/>
      <c r="BM217" s="208"/>
      <c r="BN217" s="208"/>
      <c r="BO217" s="208"/>
      <c r="BP217" s="208"/>
      <c r="BQ217" s="208"/>
      <c r="BR217" s="208"/>
      <c r="BS217" s="208"/>
      <c r="BT217" s="208"/>
      <c r="BU217" s="208"/>
      <c r="BV217" s="208"/>
      <c r="BW217" s="208"/>
      <c r="BX217" s="208"/>
      <c r="BY217" s="208"/>
      <c r="BZ217" s="208"/>
      <c r="CA217" s="208"/>
      <c r="CB217" s="208"/>
      <c r="CC217" s="208"/>
      <c r="CD217" s="208"/>
      <c r="CE217" s="208"/>
      <c r="CF217" s="208"/>
      <c r="CG217" s="208"/>
      <c r="CH217" s="208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x14ac:dyDescent="0.25" r="218" customHeight="1" ht="19.5">
      <c r="A218" s="2"/>
      <c r="B218" s="208"/>
      <c r="C218" s="208"/>
      <c r="D218" s="2"/>
      <c r="E218" s="208"/>
      <c r="F218" s="296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208"/>
      <c r="BJ218" s="208"/>
      <c r="BK218" s="208"/>
      <c r="BL218" s="208"/>
      <c r="BM218" s="208"/>
      <c r="BN218" s="208"/>
      <c r="BO218" s="208"/>
      <c r="BP218" s="208"/>
      <c r="BQ218" s="208"/>
      <c r="BR218" s="208"/>
      <c r="BS218" s="208"/>
      <c r="BT218" s="208"/>
      <c r="BU218" s="208"/>
      <c r="BV218" s="208"/>
      <c r="BW218" s="208"/>
      <c r="BX218" s="208"/>
      <c r="BY218" s="208"/>
      <c r="BZ218" s="208"/>
      <c r="CA218" s="208"/>
      <c r="CB218" s="208"/>
      <c r="CC218" s="208"/>
      <c r="CD218" s="208"/>
      <c r="CE218" s="208"/>
      <c r="CF218" s="208"/>
      <c r="CG218" s="208"/>
      <c r="CH218" s="208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x14ac:dyDescent="0.25" r="219" customHeight="1" ht="19.5">
      <c r="A219" s="2"/>
      <c r="B219" s="208"/>
      <c r="C219" s="208"/>
      <c r="D219" s="2"/>
      <c r="E219" s="208"/>
      <c r="F219" s="296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  <c r="AT219" s="208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208"/>
      <c r="BJ219" s="208"/>
      <c r="BK219" s="208"/>
      <c r="BL219" s="208"/>
      <c r="BM219" s="208"/>
      <c r="BN219" s="208"/>
      <c r="BO219" s="208"/>
      <c r="BP219" s="208"/>
      <c r="BQ219" s="208"/>
      <c r="BR219" s="208"/>
      <c r="BS219" s="208"/>
      <c r="BT219" s="208"/>
      <c r="BU219" s="208"/>
      <c r="BV219" s="208"/>
      <c r="BW219" s="208"/>
      <c r="BX219" s="208"/>
      <c r="BY219" s="208"/>
      <c r="BZ219" s="208"/>
      <c r="CA219" s="208"/>
      <c r="CB219" s="208"/>
      <c r="CC219" s="208"/>
      <c r="CD219" s="208"/>
      <c r="CE219" s="208"/>
      <c r="CF219" s="208"/>
      <c r="CG219" s="208"/>
      <c r="CH219" s="208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x14ac:dyDescent="0.25" r="220" customHeight="1" ht="19.5">
      <c r="A220" s="2"/>
      <c r="B220" s="208"/>
      <c r="C220" s="208"/>
      <c r="D220" s="2"/>
      <c r="E220" s="208"/>
      <c r="F220" s="296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"/>
      <c r="Y220" s="208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  <c r="AT220" s="208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208"/>
      <c r="BT220" s="208"/>
      <c r="BU220" s="208"/>
      <c r="BV220" s="208"/>
      <c r="BW220" s="208"/>
      <c r="BX220" s="208"/>
      <c r="BY220" s="208"/>
      <c r="BZ220" s="208"/>
      <c r="CA220" s="208"/>
      <c r="CB220" s="208"/>
      <c r="CC220" s="208"/>
      <c r="CD220" s="208"/>
      <c r="CE220" s="208"/>
      <c r="CF220" s="208"/>
      <c r="CG220" s="208"/>
      <c r="CH220" s="208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x14ac:dyDescent="0.25" r="221" customHeight="1" ht="19.5">
      <c r="A221" s="2"/>
      <c r="B221" s="208"/>
      <c r="C221" s="208"/>
      <c r="D221" s="2"/>
      <c r="E221" s="208"/>
      <c r="F221" s="296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"/>
      <c r="Y221" s="208"/>
      <c r="Z221" s="208"/>
      <c r="AA221" s="208"/>
      <c r="AB221" s="208"/>
      <c r="AC221" s="208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  <c r="AT221" s="208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208"/>
      <c r="BT221" s="208"/>
      <c r="BU221" s="208"/>
      <c r="BV221" s="208"/>
      <c r="BW221" s="208"/>
      <c r="BX221" s="208"/>
      <c r="BY221" s="208"/>
      <c r="BZ221" s="208"/>
      <c r="CA221" s="208"/>
      <c r="CB221" s="208"/>
      <c r="CC221" s="208"/>
      <c r="CD221" s="208"/>
      <c r="CE221" s="208"/>
      <c r="CF221" s="208"/>
      <c r="CG221" s="208"/>
      <c r="CH221" s="208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x14ac:dyDescent="0.25" r="222" customHeight="1" ht="19.5">
      <c r="A222" s="2"/>
      <c r="B222" s="208"/>
      <c r="C222" s="208"/>
      <c r="D222" s="2"/>
      <c r="E222" s="208"/>
      <c r="F222" s="296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"/>
      <c r="Y222" s="208"/>
      <c r="Z222" s="208"/>
      <c r="AA222" s="208"/>
      <c r="AB222" s="208"/>
      <c r="AC222" s="208"/>
      <c r="AD222" s="208"/>
      <c r="AE222" s="208"/>
      <c r="AF222" s="208"/>
      <c r="AG222" s="208"/>
      <c r="AH222" s="208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  <c r="AS222" s="208"/>
      <c r="AT222" s="208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208"/>
      <c r="BJ222" s="208"/>
      <c r="BK222" s="208"/>
      <c r="BL222" s="208"/>
      <c r="BM222" s="208"/>
      <c r="BN222" s="208"/>
      <c r="BO222" s="208"/>
      <c r="BP222" s="208"/>
      <c r="BQ222" s="208"/>
      <c r="BR222" s="208"/>
      <c r="BS222" s="208"/>
      <c r="BT222" s="208"/>
      <c r="BU222" s="208"/>
      <c r="BV222" s="208"/>
      <c r="BW222" s="208"/>
      <c r="BX222" s="208"/>
      <c r="BY222" s="208"/>
      <c r="BZ222" s="208"/>
      <c r="CA222" s="208"/>
      <c r="CB222" s="208"/>
      <c r="CC222" s="208"/>
      <c r="CD222" s="208"/>
      <c r="CE222" s="208"/>
      <c r="CF222" s="208"/>
      <c r="CG222" s="208"/>
      <c r="CH222" s="208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x14ac:dyDescent="0.25" r="223" customHeight="1" ht="19.5">
      <c r="A223" s="2"/>
      <c r="B223" s="208"/>
      <c r="C223" s="208"/>
      <c r="D223" s="2"/>
      <c r="E223" s="208"/>
      <c r="F223" s="296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"/>
      <c r="Y223" s="208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208"/>
      <c r="BJ223" s="208"/>
      <c r="BK223" s="208"/>
      <c r="BL223" s="208"/>
      <c r="BM223" s="208"/>
      <c r="BN223" s="208"/>
      <c r="BO223" s="208"/>
      <c r="BP223" s="208"/>
      <c r="BQ223" s="208"/>
      <c r="BR223" s="208"/>
      <c r="BS223" s="208"/>
      <c r="BT223" s="208"/>
      <c r="BU223" s="208"/>
      <c r="BV223" s="208"/>
      <c r="BW223" s="208"/>
      <c r="BX223" s="208"/>
      <c r="BY223" s="208"/>
      <c r="BZ223" s="208"/>
      <c r="CA223" s="208"/>
      <c r="CB223" s="208"/>
      <c r="CC223" s="208"/>
      <c r="CD223" s="208"/>
      <c r="CE223" s="208"/>
      <c r="CF223" s="208"/>
      <c r="CG223" s="208"/>
      <c r="CH223" s="208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x14ac:dyDescent="0.25" r="224" customHeight="1" ht="19.5">
      <c r="A224" s="2"/>
      <c r="B224" s="208"/>
      <c r="C224" s="208"/>
      <c r="D224" s="2"/>
      <c r="E224" s="208"/>
      <c r="F224" s="296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x14ac:dyDescent="0.25" r="225" customHeight="1" ht="19.5">
      <c r="A225" s="2"/>
      <c r="B225" s="208"/>
      <c r="C225" s="208"/>
      <c r="D225" s="2"/>
      <c r="E225" s="208"/>
      <c r="F225" s="296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8"/>
      <c r="BN225" s="208"/>
      <c r="BO225" s="208"/>
      <c r="BP225" s="208"/>
      <c r="BQ225" s="208"/>
      <c r="BR225" s="208"/>
      <c r="BS225" s="208"/>
      <c r="BT225" s="208"/>
      <c r="BU225" s="208"/>
      <c r="BV225" s="208"/>
      <c r="BW225" s="208"/>
      <c r="BX225" s="208"/>
      <c r="BY225" s="208"/>
      <c r="BZ225" s="208"/>
      <c r="CA225" s="208"/>
      <c r="CB225" s="208"/>
      <c r="CC225" s="208"/>
      <c r="CD225" s="208"/>
      <c r="CE225" s="208"/>
      <c r="CF225" s="208"/>
      <c r="CG225" s="208"/>
      <c r="CH225" s="208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x14ac:dyDescent="0.25" r="226" customHeight="1" ht="19.5">
      <c r="A226" s="2"/>
      <c r="B226" s="208"/>
      <c r="C226" s="208"/>
      <c r="D226" s="2"/>
      <c r="E226" s="208"/>
      <c r="F226" s="296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8"/>
      <c r="BN226" s="208"/>
      <c r="BO226" s="208"/>
      <c r="BP226" s="208"/>
      <c r="BQ226" s="208"/>
      <c r="BR226" s="208"/>
      <c r="BS226" s="208"/>
      <c r="BT226" s="208"/>
      <c r="BU226" s="208"/>
      <c r="BV226" s="208"/>
      <c r="BW226" s="208"/>
      <c r="BX226" s="208"/>
      <c r="BY226" s="208"/>
      <c r="BZ226" s="208"/>
      <c r="CA226" s="208"/>
      <c r="CB226" s="208"/>
      <c r="CC226" s="208"/>
      <c r="CD226" s="208"/>
      <c r="CE226" s="208"/>
      <c r="CF226" s="208"/>
      <c r="CG226" s="208"/>
      <c r="CH226" s="208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x14ac:dyDescent="0.25" r="227" customHeight="1" ht="19.5">
      <c r="A227" s="2"/>
      <c r="B227" s="208"/>
      <c r="C227" s="208"/>
      <c r="D227" s="2"/>
      <c r="E227" s="208"/>
      <c r="F227" s="296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8"/>
      <c r="BN227" s="208"/>
      <c r="BO227" s="208"/>
      <c r="BP227" s="208"/>
      <c r="BQ227" s="208"/>
      <c r="BR227" s="208"/>
      <c r="BS227" s="208"/>
      <c r="BT227" s="208"/>
      <c r="BU227" s="208"/>
      <c r="BV227" s="208"/>
      <c r="BW227" s="208"/>
      <c r="BX227" s="208"/>
      <c r="BY227" s="208"/>
      <c r="BZ227" s="208"/>
      <c r="CA227" s="208"/>
      <c r="CB227" s="208"/>
      <c r="CC227" s="208"/>
      <c r="CD227" s="208"/>
      <c r="CE227" s="208"/>
      <c r="CF227" s="208"/>
      <c r="CG227" s="208"/>
      <c r="CH227" s="208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x14ac:dyDescent="0.25" r="228" customHeight="1" ht="19.5">
      <c r="A228" s="2"/>
      <c r="B228" s="208"/>
      <c r="C228" s="208"/>
      <c r="D228" s="2"/>
      <c r="E228" s="208"/>
      <c r="F228" s="296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  <c r="AT228" s="208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BX228" s="208"/>
      <c r="BY228" s="208"/>
      <c r="BZ228" s="208"/>
      <c r="CA228" s="208"/>
      <c r="CB228" s="208"/>
      <c r="CC228" s="208"/>
      <c r="CD228" s="208"/>
      <c r="CE228" s="208"/>
      <c r="CF228" s="208"/>
      <c r="CG228" s="208"/>
      <c r="CH228" s="208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x14ac:dyDescent="0.25" r="229" customHeight="1" ht="19.5">
      <c r="A229" s="2"/>
      <c r="B229" s="208"/>
      <c r="C229" s="208"/>
      <c r="D229" s="2"/>
      <c r="E229" s="208"/>
      <c r="F229" s="296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BX229" s="208"/>
      <c r="BY229" s="208"/>
      <c r="BZ229" s="208"/>
      <c r="CA229" s="208"/>
      <c r="CB229" s="208"/>
      <c r="CC229" s="208"/>
      <c r="CD229" s="208"/>
      <c r="CE229" s="208"/>
      <c r="CF229" s="208"/>
      <c r="CG229" s="208"/>
      <c r="CH229" s="208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x14ac:dyDescent="0.25" r="230" customHeight="1" ht="19.5">
      <c r="A230" s="2"/>
      <c r="B230" s="208"/>
      <c r="C230" s="208"/>
      <c r="D230" s="2"/>
      <c r="E230" s="208"/>
      <c r="F230" s="296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"/>
      <c r="Y230" s="208"/>
      <c r="Z230" s="208"/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  <c r="AT230" s="208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208"/>
      <c r="BJ230" s="208"/>
      <c r="BK230" s="208"/>
      <c r="BL230" s="208"/>
      <c r="BM230" s="208"/>
      <c r="BN230" s="208"/>
      <c r="BO230" s="208"/>
      <c r="BP230" s="208"/>
      <c r="BQ230" s="208"/>
      <c r="BR230" s="208"/>
      <c r="BS230" s="208"/>
      <c r="BT230" s="208"/>
      <c r="BU230" s="208"/>
      <c r="BV230" s="208"/>
      <c r="BW230" s="208"/>
      <c r="BX230" s="208"/>
      <c r="BY230" s="208"/>
      <c r="BZ230" s="208"/>
      <c r="CA230" s="208"/>
      <c r="CB230" s="208"/>
      <c r="CC230" s="208"/>
      <c r="CD230" s="208"/>
      <c r="CE230" s="208"/>
      <c r="CF230" s="208"/>
      <c r="CG230" s="208"/>
      <c r="CH230" s="208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x14ac:dyDescent="0.25" r="231" customHeight="1" ht="19.5">
      <c r="A231" s="2"/>
      <c r="B231" s="208"/>
      <c r="C231" s="208"/>
      <c r="D231" s="2"/>
      <c r="E231" s="208"/>
      <c r="F231" s="296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"/>
      <c r="Y231" s="208"/>
      <c r="Z231" s="208"/>
      <c r="AA231" s="208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  <c r="AT231" s="208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208"/>
      <c r="BJ231" s="208"/>
      <c r="BK231" s="208"/>
      <c r="BL231" s="208"/>
      <c r="BM231" s="208"/>
      <c r="BN231" s="208"/>
      <c r="BO231" s="208"/>
      <c r="BP231" s="208"/>
      <c r="BQ231" s="208"/>
      <c r="BR231" s="208"/>
      <c r="BS231" s="208"/>
      <c r="BT231" s="208"/>
      <c r="BU231" s="208"/>
      <c r="BV231" s="208"/>
      <c r="BW231" s="208"/>
      <c r="BX231" s="208"/>
      <c r="BY231" s="208"/>
      <c r="BZ231" s="208"/>
      <c r="CA231" s="208"/>
      <c r="CB231" s="208"/>
      <c r="CC231" s="208"/>
      <c r="CD231" s="208"/>
      <c r="CE231" s="208"/>
      <c r="CF231" s="208"/>
      <c r="CG231" s="208"/>
      <c r="CH231" s="208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x14ac:dyDescent="0.25" r="232" customHeight="1" ht="19.5">
      <c r="A232" s="2"/>
      <c r="B232" s="208"/>
      <c r="C232" s="208"/>
      <c r="D232" s="2"/>
      <c r="E232" s="208"/>
      <c r="F232" s="296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  <c r="AT232" s="208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x14ac:dyDescent="0.25" r="233" customHeight="1" ht="19.5">
      <c r="A233" s="2"/>
      <c r="B233" s="208"/>
      <c r="C233" s="208"/>
      <c r="D233" s="2"/>
      <c r="E233" s="208"/>
      <c r="F233" s="296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"/>
      <c r="Y233" s="208"/>
      <c r="Z233" s="208"/>
      <c r="AA233" s="208"/>
      <c r="AB233" s="208"/>
      <c r="AC233" s="208"/>
      <c r="AD233" s="208"/>
      <c r="AE233" s="208"/>
      <c r="AF233" s="208"/>
      <c r="AG233" s="208"/>
      <c r="AH233" s="208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  <c r="AS233" s="208"/>
      <c r="AT233" s="208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208"/>
      <c r="BJ233" s="208"/>
      <c r="BK233" s="208"/>
      <c r="BL233" s="208"/>
      <c r="BM233" s="208"/>
      <c r="BN233" s="208"/>
      <c r="BO233" s="208"/>
      <c r="BP233" s="208"/>
      <c r="BQ233" s="208"/>
      <c r="BR233" s="208"/>
      <c r="BS233" s="208"/>
      <c r="BT233" s="208"/>
      <c r="BU233" s="208"/>
      <c r="BV233" s="208"/>
      <c r="BW233" s="208"/>
      <c r="BX233" s="208"/>
      <c r="BY233" s="208"/>
      <c r="BZ233" s="208"/>
      <c r="CA233" s="208"/>
      <c r="CB233" s="208"/>
      <c r="CC233" s="208"/>
      <c r="CD233" s="208"/>
      <c r="CE233" s="208"/>
      <c r="CF233" s="208"/>
      <c r="CG233" s="208"/>
      <c r="CH233" s="208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x14ac:dyDescent="0.25" r="234" customHeight="1" ht="19.5">
      <c r="A234" s="2"/>
      <c r="B234" s="208"/>
      <c r="C234" s="208"/>
      <c r="D234" s="2"/>
      <c r="E234" s="208"/>
      <c r="F234" s="296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"/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  <c r="AT234" s="208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208"/>
      <c r="BJ234" s="208"/>
      <c r="BK234" s="208"/>
      <c r="BL234" s="208"/>
      <c r="BM234" s="208"/>
      <c r="BN234" s="208"/>
      <c r="BO234" s="208"/>
      <c r="BP234" s="208"/>
      <c r="BQ234" s="208"/>
      <c r="BR234" s="208"/>
      <c r="BS234" s="208"/>
      <c r="BT234" s="208"/>
      <c r="BU234" s="208"/>
      <c r="BV234" s="208"/>
      <c r="BW234" s="208"/>
      <c r="BX234" s="208"/>
      <c r="BY234" s="208"/>
      <c r="BZ234" s="208"/>
      <c r="CA234" s="208"/>
      <c r="CB234" s="208"/>
      <c r="CC234" s="208"/>
      <c r="CD234" s="208"/>
      <c r="CE234" s="208"/>
      <c r="CF234" s="208"/>
      <c r="CG234" s="208"/>
      <c r="CH234" s="208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x14ac:dyDescent="0.25" r="235" customHeight="1" ht="19.5">
      <c r="A235" s="2"/>
      <c r="B235" s="208"/>
      <c r="C235" s="208"/>
      <c r="D235" s="2"/>
      <c r="E235" s="208"/>
      <c r="F235" s="296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"/>
      <c r="Y235" s="208"/>
      <c r="Z235" s="208"/>
      <c r="AA235" s="208"/>
      <c r="AB235" s="208"/>
      <c r="AC235" s="208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  <c r="AT235" s="208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208"/>
      <c r="BJ235" s="208"/>
      <c r="BK235" s="208"/>
      <c r="BL235" s="208"/>
      <c r="BM235" s="208"/>
      <c r="BN235" s="208"/>
      <c r="BO235" s="208"/>
      <c r="BP235" s="208"/>
      <c r="BQ235" s="208"/>
      <c r="BR235" s="208"/>
      <c r="BS235" s="208"/>
      <c r="BT235" s="208"/>
      <c r="BU235" s="208"/>
      <c r="BV235" s="208"/>
      <c r="BW235" s="208"/>
      <c r="BX235" s="208"/>
      <c r="BY235" s="208"/>
      <c r="BZ235" s="208"/>
      <c r="CA235" s="208"/>
      <c r="CB235" s="208"/>
      <c r="CC235" s="208"/>
      <c r="CD235" s="208"/>
      <c r="CE235" s="208"/>
      <c r="CF235" s="208"/>
      <c r="CG235" s="208"/>
      <c r="CH235" s="208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x14ac:dyDescent="0.25" r="236" customHeight="1" ht="19.5">
      <c r="A236" s="2"/>
      <c r="B236" s="208"/>
      <c r="C236" s="208"/>
      <c r="D236" s="2"/>
      <c r="E236" s="208"/>
      <c r="F236" s="296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"/>
      <c r="Y236" s="208"/>
      <c r="Z236" s="208"/>
      <c r="AA236" s="208"/>
      <c r="AB236" s="208"/>
      <c r="AC236" s="208"/>
      <c r="AD236" s="208"/>
      <c r="AE236" s="208"/>
      <c r="AF236" s="208"/>
      <c r="AG236" s="208"/>
      <c r="AH236" s="208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  <c r="AS236" s="208"/>
      <c r="AT236" s="208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208"/>
      <c r="BJ236" s="208"/>
      <c r="BK236" s="208"/>
      <c r="BL236" s="208"/>
      <c r="BM236" s="208"/>
      <c r="BN236" s="208"/>
      <c r="BO236" s="208"/>
      <c r="BP236" s="208"/>
      <c r="BQ236" s="208"/>
      <c r="BR236" s="208"/>
      <c r="BS236" s="208"/>
      <c r="BT236" s="208"/>
      <c r="BU236" s="208"/>
      <c r="BV236" s="208"/>
      <c r="BW236" s="208"/>
      <c r="BX236" s="208"/>
      <c r="BY236" s="208"/>
      <c r="BZ236" s="208"/>
      <c r="CA236" s="208"/>
      <c r="CB236" s="208"/>
      <c r="CC236" s="208"/>
      <c r="CD236" s="208"/>
      <c r="CE236" s="208"/>
      <c r="CF236" s="208"/>
      <c r="CG236" s="208"/>
      <c r="CH236" s="208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x14ac:dyDescent="0.25" r="237" customHeight="1" ht="19.5">
      <c r="A237" s="2"/>
      <c r="B237" s="208"/>
      <c r="C237" s="208"/>
      <c r="D237" s="2"/>
      <c r="E237" s="208"/>
      <c r="F237" s="296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"/>
      <c r="Y237" s="208"/>
      <c r="Z237" s="208"/>
      <c r="AA237" s="208"/>
      <c r="AB237" s="208"/>
      <c r="AC237" s="208"/>
      <c r="AD237" s="208"/>
      <c r="AE237" s="208"/>
      <c r="AF237" s="208"/>
      <c r="AG237" s="208"/>
      <c r="AH237" s="208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  <c r="AS237" s="208"/>
      <c r="AT237" s="208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208"/>
      <c r="BJ237" s="208"/>
      <c r="BK237" s="208"/>
      <c r="BL237" s="208"/>
      <c r="BM237" s="208"/>
      <c r="BN237" s="208"/>
      <c r="BO237" s="208"/>
      <c r="BP237" s="208"/>
      <c r="BQ237" s="208"/>
      <c r="BR237" s="208"/>
      <c r="BS237" s="208"/>
      <c r="BT237" s="208"/>
      <c r="BU237" s="208"/>
      <c r="BV237" s="208"/>
      <c r="BW237" s="208"/>
      <c r="BX237" s="208"/>
      <c r="BY237" s="208"/>
      <c r="BZ237" s="208"/>
      <c r="CA237" s="208"/>
      <c r="CB237" s="208"/>
      <c r="CC237" s="208"/>
      <c r="CD237" s="208"/>
      <c r="CE237" s="208"/>
      <c r="CF237" s="208"/>
      <c r="CG237" s="208"/>
      <c r="CH237" s="208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x14ac:dyDescent="0.25" r="238" customHeight="1" ht="19.5">
      <c r="A238" s="2"/>
      <c r="B238" s="208"/>
      <c r="C238" s="208"/>
      <c r="D238" s="2"/>
      <c r="E238" s="208"/>
      <c r="F238" s="296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"/>
      <c r="Y238" s="208"/>
      <c r="Z238" s="208"/>
      <c r="AA238" s="208"/>
      <c r="AB238" s="208"/>
      <c r="AC238" s="208"/>
      <c r="AD238" s="208"/>
      <c r="AE238" s="208"/>
      <c r="AF238" s="208"/>
      <c r="AG238" s="208"/>
      <c r="AH238" s="208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  <c r="AS238" s="208"/>
      <c r="AT238" s="208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208"/>
      <c r="BJ238" s="208"/>
      <c r="BK238" s="208"/>
      <c r="BL238" s="208"/>
      <c r="BM238" s="208"/>
      <c r="BN238" s="208"/>
      <c r="BO238" s="208"/>
      <c r="BP238" s="208"/>
      <c r="BQ238" s="208"/>
      <c r="BR238" s="208"/>
      <c r="BS238" s="208"/>
      <c r="BT238" s="208"/>
      <c r="BU238" s="208"/>
      <c r="BV238" s="208"/>
      <c r="BW238" s="208"/>
      <c r="BX238" s="208"/>
      <c r="BY238" s="208"/>
      <c r="BZ238" s="208"/>
      <c r="CA238" s="208"/>
      <c r="CB238" s="208"/>
      <c r="CC238" s="208"/>
      <c r="CD238" s="208"/>
      <c r="CE238" s="208"/>
      <c r="CF238" s="208"/>
      <c r="CG238" s="208"/>
      <c r="CH238" s="208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x14ac:dyDescent="0.25" r="239" customHeight="1" ht="19.5">
      <c r="A239" s="2"/>
      <c r="B239" s="208"/>
      <c r="C239" s="208"/>
      <c r="D239" s="2"/>
      <c r="E239" s="208"/>
      <c r="F239" s="296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"/>
      <c r="Y239" s="208"/>
      <c r="Z239" s="208"/>
      <c r="AA239" s="208"/>
      <c r="AB239" s="208"/>
      <c r="AC239" s="208"/>
      <c r="AD239" s="208"/>
      <c r="AE239" s="208"/>
      <c r="AF239" s="208"/>
      <c r="AG239" s="208"/>
      <c r="AH239" s="208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  <c r="AS239" s="208"/>
      <c r="AT239" s="208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208"/>
      <c r="BJ239" s="208"/>
      <c r="BK239" s="208"/>
      <c r="BL239" s="208"/>
      <c r="BM239" s="208"/>
      <c r="BN239" s="208"/>
      <c r="BO239" s="208"/>
      <c r="BP239" s="208"/>
      <c r="BQ239" s="208"/>
      <c r="BR239" s="208"/>
      <c r="BS239" s="208"/>
      <c r="BT239" s="208"/>
      <c r="BU239" s="208"/>
      <c r="BV239" s="208"/>
      <c r="BW239" s="208"/>
      <c r="BX239" s="208"/>
      <c r="BY239" s="208"/>
      <c r="BZ239" s="208"/>
      <c r="CA239" s="208"/>
      <c r="CB239" s="208"/>
      <c r="CC239" s="208"/>
      <c r="CD239" s="208"/>
      <c r="CE239" s="208"/>
      <c r="CF239" s="208"/>
      <c r="CG239" s="208"/>
      <c r="CH239" s="208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x14ac:dyDescent="0.25" r="240" customHeight="1" ht="19.5">
      <c r="A240" s="2"/>
      <c r="B240" s="208"/>
      <c r="C240" s="208"/>
      <c r="D240" s="2"/>
      <c r="E240" s="208"/>
      <c r="F240" s="296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8"/>
      <c r="AT240" s="208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x14ac:dyDescent="0.25" r="241" customHeight="1" ht="19.5">
      <c r="A241" s="2"/>
      <c r="B241" s="208"/>
      <c r="C241" s="208"/>
      <c r="D241" s="2"/>
      <c r="E241" s="208"/>
      <c r="F241" s="296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  <c r="AT241" s="208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208"/>
      <c r="BT241" s="208"/>
      <c r="BU241" s="208"/>
      <c r="BV241" s="208"/>
      <c r="BW241" s="208"/>
      <c r="BX241" s="208"/>
      <c r="BY241" s="208"/>
      <c r="BZ241" s="208"/>
      <c r="CA241" s="208"/>
      <c r="CB241" s="208"/>
      <c r="CC241" s="208"/>
      <c r="CD241" s="208"/>
      <c r="CE241" s="208"/>
      <c r="CF241" s="208"/>
      <c r="CG241" s="208"/>
      <c r="CH241" s="208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x14ac:dyDescent="0.25" r="242" customHeight="1" ht="19.5">
      <c r="A242" s="2"/>
      <c r="B242" s="208"/>
      <c r="C242" s="208"/>
      <c r="D242" s="2"/>
      <c r="E242" s="208"/>
      <c r="F242" s="296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208"/>
      <c r="BJ242" s="208"/>
      <c r="BK242" s="208"/>
      <c r="BL242" s="208"/>
      <c r="BM242" s="208"/>
      <c r="BN242" s="208"/>
      <c r="BO242" s="208"/>
      <c r="BP242" s="208"/>
      <c r="BQ242" s="208"/>
      <c r="BR242" s="208"/>
      <c r="BS242" s="208"/>
      <c r="BT242" s="208"/>
      <c r="BU242" s="208"/>
      <c r="BV242" s="208"/>
      <c r="BW242" s="208"/>
      <c r="BX242" s="208"/>
      <c r="BY242" s="208"/>
      <c r="BZ242" s="208"/>
      <c r="CA242" s="208"/>
      <c r="CB242" s="208"/>
      <c r="CC242" s="208"/>
      <c r="CD242" s="208"/>
      <c r="CE242" s="208"/>
      <c r="CF242" s="208"/>
      <c r="CG242" s="208"/>
      <c r="CH242" s="208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x14ac:dyDescent="0.25" r="243" customHeight="1" ht="19.5">
      <c r="A243" s="2"/>
      <c r="B243" s="208"/>
      <c r="C243" s="208"/>
      <c r="D243" s="2"/>
      <c r="E243" s="208"/>
      <c r="F243" s="296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208"/>
      <c r="BJ243" s="208"/>
      <c r="BK243" s="208"/>
      <c r="BL243" s="208"/>
      <c r="BM243" s="208"/>
      <c r="BN243" s="208"/>
      <c r="BO243" s="208"/>
      <c r="BP243" s="208"/>
      <c r="BQ243" s="208"/>
      <c r="BR243" s="208"/>
      <c r="BS243" s="208"/>
      <c r="BT243" s="208"/>
      <c r="BU243" s="208"/>
      <c r="BV243" s="208"/>
      <c r="BW243" s="208"/>
      <c r="BX243" s="208"/>
      <c r="BY243" s="208"/>
      <c r="BZ243" s="208"/>
      <c r="CA243" s="208"/>
      <c r="CB243" s="208"/>
      <c r="CC243" s="208"/>
      <c r="CD243" s="208"/>
      <c r="CE243" s="208"/>
      <c r="CF243" s="208"/>
      <c r="CG243" s="208"/>
      <c r="CH243" s="208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x14ac:dyDescent="0.25" r="244" customHeight="1" ht="19.5">
      <c r="A244" s="2"/>
      <c r="B244" s="208"/>
      <c r="C244" s="208"/>
      <c r="D244" s="2"/>
      <c r="E244" s="208"/>
      <c r="F244" s="296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208"/>
      <c r="BV244" s="208"/>
      <c r="BW244" s="208"/>
      <c r="BX244" s="208"/>
      <c r="BY244" s="208"/>
      <c r="BZ244" s="208"/>
      <c r="CA244" s="208"/>
      <c r="CB244" s="208"/>
      <c r="CC244" s="208"/>
      <c r="CD244" s="208"/>
      <c r="CE244" s="208"/>
      <c r="CF244" s="208"/>
      <c r="CG244" s="208"/>
      <c r="CH244" s="208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x14ac:dyDescent="0.25" r="245" customHeight="1" ht="19.5">
      <c r="A245" s="2"/>
      <c r="B245" s="208"/>
      <c r="C245" s="208"/>
      <c r="D245" s="2"/>
      <c r="E245" s="208"/>
      <c r="F245" s="296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  <c r="AT245" s="208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208"/>
      <c r="BT245" s="208"/>
      <c r="BU245" s="208"/>
      <c r="BV245" s="208"/>
      <c r="BW245" s="208"/>
      <c r="BX245" s="208"/>
      <c r="BY245" s="208"/>
      <c r="BZ245" s="208"/>
      <c r="CA245" s="208"/>
      <c r="CB245" s="208"/>
      <c r="CC245" s="208"/>
      <c r="CD245" s="208"/>
      <c r="CE245" s="208"/>
      <c r="CF245" s="208"/>
      <c r="CG245" s="208"/>
      <c r="CH245" s="208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x14ac:dyDescent="0.25" r="246" customHeight="1" ht="19.5">
      <c r="A246" s="2"/>
      <c r="B246" s="208"/>
      <c r="C246" s="208"/>
      <c r="D246" s="2"/>
      <c r="E246" s="208"/>
      <c r="F246" s="296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208"/>
      <c r="BJ246" s="208"/>
      <c r="BK246" s="208"/>
      <c r="BL246" s="208"/>
      <c r="BM246" s="208"/>
      <c r="BN246" s="208"/>
      <c r="BO246" s="208"/>
      <c r="BP246" s="208"/>
      <c r="BQ246" s="208"/>
      <c r="BR246" s="208"/>
      <c r="BS246" s="208"/>
      <c r="BT246" s="208"/>
      <c r="BU246" s="208"/>
      <c r="BV246" s="208"/>
      <c r="BW246" s="208"/>
      <c r="BX246" s="208"/>
      <c r="BY246" s="208"/>
      <c r="BZ246" s="208"/>
      <c r="CA246" s="208"/>
      <c r="CB246" s="208"/>
      <c r="CC246" s="208"/>
      <c r="CD246" s="208"/>
      <c r="CE246" s="208"/>
      <c r="CF246" s="208"/>
      <c r="CG246" s="208"/>
      <c r="CH246" s="208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x14ac:dyDescent="0.25" r="247" customHeight="1" ht="19.5">
      <c r="A247" s="2"/>
      <c r="B247" s="208"/>
      <c r="C247" s="208"/>
      <c r="D247" s="2"/>
      <c r="E247" s="208"/>
      <c r="F247" s="296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208"/>
      <c r="BJ247" s="208"/>
      <c r="BK247" s="208"/>
      <c r="BL247" s="208"/>
      <c r="BM247" s="208"/>
      <c r="BN247" s="208"/>
      <c r="BO247" s="208"/>
      <c r="BP247" s="208"/>
      <c r="BQ247" s="208"/>
      <c r="BR247" s="208"/>
      <c r="BS247" s="208"/>
      <c r="BT247" s="208"/>
      <c r="BU247" s="208"/>
      <c r="BV247" s="208"/>
      <c r="BW247" s="208"/>
      <c r="BX247" s="208"/>
      <c r="BY247" s="208"/>
      <c r="BZ247" s="208"/>
      <c r="CA247" s="208"/>
      <c r="CB247" s="208"/>
      <c r="CC247" s="208"/>
      <c r="CD247" s="208"/>
      <c r="CE247" s="208"/>
      <c r="CF247" s="208"/>
      <c r="CG247" s="208"/>
      <c r="CH247" s="208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x14ac:dyDescent="0.25" r="248" customHeight="1" ht="19.5">
      <c r="A248" s="2"/>
      <c r="B248" s="208"/>
      <c r="C248" s="208"/>
      <c r="D248" s="2"/>
      <c r="E248" s="208"/>
      <c r="F248" s="296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8"/>
      <c r="BM248" s="208"/>
      <c r="BN248" s="208"/>
      <c r="BO248" s="208"/>
      <c r="BP248" s="208"/>
      <c r="BQ248" s="208"/>
      <c r="BR248" s="208"/>
      <c r="BS248" s="208"/>
      <c r="BT248" s="208"/>
      <c r="BU248" s="208"/>
      <c r="BV248" s="208"/>
      <c r="BW248" s="208"/>
      <c r="BX248" s="208"/>
      <c r="BY248" s="208"/>
      <c r="BZ248" s="208"/>
      <c r="CA248" s="208"/>
      <c r="CB248" s="208"/>
      <c r="CC248" s="208"/>
      <c r="CD248" s="208"/>
      <c r="CE248" s="208"/>
      <c r="CF248" s="208"/>
      <c r="CG248" s="208"/>
      <c r="CH248" s="208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x14ac:dyDescent="0.25" r="249" customHeight="1" ht="19.5">
      <c r="A249" s="2"/>
      <c r="B249" s="208"/>
      <c r="C249" s="208"/>
      <c r="D249" s="2"/>
      <c r="E249" s="208"/>
      <c r="F249" s="296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"/>
      <c r="Y249" s="208"/>
      <c r="Z249" s="208"/>
      <c r="AA249" s="208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  <c r="AT249" s="208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208"/>
      <c r="BJ249" s="208"/>
      <c r="BK249" s="208"/>
      <c r="BL249" s="208"/>
      <c r="BM249" s="208"/>
      <c r="BN249" s="208"/>
      <c r="BO249" s="208"/>
      <c r="BP249" s="208"/>
      <c r="BQ249" s="208"/>
      <c r="BR249" s="208"/>
      <c r="BS249" s="208"/>
      <c r="BT249" s="208"/>
      <c r="BU249" s="208"/>
      <c r="BV249" s="208"/>
      <c r="BW249" s="208"/>
      <c r="BX249" s="208"/>
      <c r="BY249" s="208"/>
      <c r="BZ249" s="208"/>
      <c r="CA249" s="208"/>
      <c r="CB249" s="208"/>
      <c r="CC249" s="208"/>
      <c r="CD249" s="208"/>
      <c r="CE249" s="208"/>
      <c r="CF249" s="208"/>
      <c r="CG249" s="208"/>
      <c r="CH249" s="208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x14ac:dyDescent="0.25" r="250" customHeight="1" ht="19.5">
      <c r="A250" s="2"/>
      <c r="B250" s="208"/>
      <c r="C250" s="208"/>
      <c r="D250" s="2"/>
      <c r="E250" s="208"/>
      <c r="F250" s="296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"/>
      <c r="Y250" s="208"/>
      <c r="Z250" s="208"/>
      <c r="AA250" s="208"/>
      <c r="AB250" s="208"/>
      <c r="AC250" s="208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8"/>
      <c r="AT250" s="208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208"/>
      <c r="BJ250" s="208"/>
      <c r="BK250" s="208"/>
      <c r="BL250" s="208"/>
      <c r="BM250" s="208"/>
      <c r="BN250" s="208"/>
      <c r="BO250" s="208"/>
      <c r="BP250" s="208"/>
      <c r="BQ250" s="208"/>
      <c r="BR250" s="208"/>
      <c r="BS250" s="208"/>
      <c r="BT250" s="208"/>
      <c r="BU250" s="208"/>
      <c r="BV250" s="208"/>
      <c r="BW250" s="208"/>
      <c r="BX250" s="208"/>
      <c r="BY250" s="208"/>
      <c r="BZ250" s="208"/>
      <c r="CA250" s="208"/>
      <c r="CB250" s="208"/>
      <c r="CC250" s="208"/>
      <c r="CD250" s="208"/>
      <c r="CE250" s="208"/>
      <c r="CF250" s="208"/>
      <c r="CG250" s="208"/>
      <c r="CH250" s="208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x14ac:dyDescent="0.25" r="251" customHeight="1" ht="19.5">
      <c r="A251" s="2"/>
      <c r="B251" s="208"/>
      <c r="C251" s="208"/>
      <c r="D251" s="2"/>
      <c r="E251" s="208"/>
      <c r="F251" s="296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"/>
      <c r="Y251" s="208"/>
      <c r="Z251" s="208"/>
      <c r="AA251" s="208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  <c r="AT251" s="208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208"/>
      <c r="BJ251" s="208"/>
      <c r="BK251" s="208"/>
      <c r="BL251" s="208"/>
      <c r="BM251" s="208"/>
      <c r="BN251" s="208"/>
      <c r="BO251" s="208"/>
      <c r="BP251" s="208"/>
      <c r="BQ251" s="208"/>
      <c r="BR251" s="208"/>
      <c r="BS251" s="208"/>
      <c r="BT251" s="208"/>
      <c r="BU251" s="208"/>
      <c r="BV251" s="208"/>
      <c r="BW251" s="208"/>
      <c r="BX251" s="208"/>
      <c r="BY251" s="208"/>
      <c r="BZ251" s="208"/>
      <c r="CA251" s="208"/>
      <c r="CB251" s="208"/>
      <c r="CC251" s="208"/>
      <c r="CD251" s="208"/>
      <c r="CE251" s="208"/>
      <c r="CF251" s="208"/>
      <c r="CG251" s="208"/>
      <c r="CH251" s="208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x14ac:dyDescent="0.25" r="252" customHeight="1" ht="19.5">
      <c r="A252" s="2"/>
      <c r="B252" s="208"/>
      <c r="C252" s="208"/>
      <c r="D252" s="2"/>
      <c r="E252" s="208"/>
      <c r="F252" s="296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  <c r="AT252" s="208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208"/>
      <c r="BT252" s="208"/>
      <c r="BU252" s="208"/>
      <c r="BV252" s="208"/>
      <c r="BW252" s="208"/>
      <c r="BX252" s="208"/>
      <c r="BY252" s="208"/>
      <c r="BZ252" s="208"/>
      <c r="CA252" s="208"/>
      <c r="CB252" s="208"/>
      <c r="CC252" s="208"/>
      <c r="CD252" s="208"/>
      <c r="CE252" s="208"/>
      <c r="CF252" s="208"/>
      <c r="CG252" s="208"/>
      <c r="CH252" s="208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x14ac:dyDescent="0.25" r="253" customHeight="1" ht="19.5">
      <c r="A253" s="2"/>
      <c r="B253" s="208"/>
      <c r="C253" s="208"/>
      <c r="D253" s="2"/>
      <c r="E253" s="208"/>
      <c r="F253" s="296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"/>
      <c r="Y253" s="208"/>
      <c r="Z253" s="208"/>
      <c r="AA253" s="208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  <c r="AT253" s="208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208"/>
      <c r="BJ253" s="208"/>
      <c r="BK253" s="208"/>
      <c r="BL253" s="208"/>
      <c r="BM253" s="208"/>
      <c r="BN253" s="208"/>
      <c r="BO253" s="208"/>
      <c r="BP253" s="208"/>
      <c r="BQ253" s="208"/>
      <c r="BR253" s="208"/>
      <c r="BS253" s="208"/>
      <c r="BT253" s="208"/>
      <c r="BU253" s="208"/>
      <c r="BV253" s="208"/>
      <c r="BW253" s="208"/>
      <c r="BX253" s="208"/>
      <c r="BY253" s="208"/>
      <c r="BZ253" s="208"/>
      <c r="CA253" s="208"/>
      <c r="CB253" s="208"/>
      <c r="CC253" s="208"/>
      <c r="CD253" s="208"/>
      <c r="CE253" s="208"/>
      <c r="CF253" s="208"/>
      <c r="CG253" s="208"/>
      <c r="CH253" s="208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x14ac:dyDescent="0.25" r="254" customHeight="1" ht="19.5">
      <c r="A254" s="2"/>
      <c r="B254" s="208"/>
      <c r="C254" s="208"/>
      <c r="D254" s="2"/>
      <c r="E254" s="208"/>
      <c r="F254" s="296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  <c r="AT254" s="208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208"/>
      <c r="BJ254" s="208"/>
      <c r="BK254" s="208"/>
      <c r="BL254" s="208"/>
      <c r="BM254" s="208"/>
      <c r="BN254" s="208"/>
      <c r="BO254" s="208"/>
      <c r="BP254" s="208"/>
      <c r="BQ254" s="208"/>
      <c r="BR254" s="208"/>
      <c r="BS254" s="208"/>
      <c r="BT254" s="208"/>
      <c r="BU254" s="208"/>
      <c r="BV254" s="208"/>
      <c r="BW254" s="208"/>
      <c r="BX254" s="208"/>
      <c r="BY254" s="208"/>
      <c r="BZ254" s="208"/>
      <c r="CA254" s="208"/>
      <c r="CB254" s="208"/>
      <c r="CC254" s="208"/>
      <c r="CD254" s="208"/>
      <c r="CE254" s="208"/>
      <c r="CF254" s="208"/>
      <c r="CG254" s="208"/>
      <c r="CH254" s="208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x14ac:dyDescent="0.25" r="255" customHeight="1" ht="19.5">
      <c r="A255" s="2"/>
      <c r="B255" s="208"/>
      <c r="C255" s="208"/>
      <c r="D255" s="2"/>
      <c r="E255" s="208"/>
      <c r="F255" s="296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"/>
      <c r="Y255" s="208"/>
      <c r="Z255" s="208"/>
      <c r="AA255" s="208"/>
      <c r="AB255" s="208"/>
      <c r="AC255" s="208"/>
      <c r="AD255" s="208"/>
      <c r="AE255" s="208"/>
      <c r="AF255" s="208"/>
      <c r="AG255" s="208"/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  <c r="AT255" s="208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208"/>
      <c r="BJ255" s="208"/>
      <c r="BK255" s="208"/>
      <c r="BL255" s="208"/>
      <c r="BM255" s="208"/>
      <c r="BN255" s="208"/>
      <c r="BO255" s="208"/>
      <c r="BP255" s="208"/>
      <c r="BQ255" s="208"/>
      <c r="BR255" s="208"/>
      <c r="BS255" s="208"/>
      <c r="BT255" s="208"/>
      <c r="BU255" s="208"/>
      <c r="BV255" s="208"/>
      <c r="BW255" s="208"/>
      <c r="BX255" s="208"/>
      <c r="BY255" s="208"/>
      <c r="BZ255" s="208"/>
      <c r="CA255" s="208"/>
      <c r="CB255" s="208"/>
      <c r="CC255" s="208"/>
      <c r="CD255" s="208"/>
      <c r="CE255" s="208"/>
      <c r="CF255" s="208"/>
      <c r="CG255" s="208"/>
      <c r="CH255" s="208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x14ac:dyDescent="0.25" r="256" customHeight="1" ht="19.5">
      <c r="A256" s="2"/>
      <c r="B256" s="208"/>
      <c r="C256" s="208"/>
      <c r="D256" s="2"/>
      <c r="E256" s="208"/>
      <c r="F256" s="296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"/>
      <c r="Y256" s="208"/>
      <c r="Z256" s="208"/>
      <c r="AA256" s="208"/>
      <c r="AB256" s="208"/>
      <c r="AC256" s="208"/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  <c r="AT256" s="208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208"/>
      <c r="BJ256" s="208"/>
      <c r="BK256" s="208"/>
      <c r="BL256" s="208"/>
      <c r="BM256" s="208"/>
      <c r="BN256" s="208"/>
      <c r="BO256" s="208"/>
      <c r="BP256" s="208"/>
      <c r="BQ256" s="208"/>
      <c r="BR256" s="208"/>
      <c r="BS256" s="208"/>
      <c r="BT256" s="208"/>
      <c r="BU256" s="208"/>
      <c r="BV256" s="208"/>
      <c r="BW256" s="208"/>
      <c r="BX256" s="208"/>
      <c r="BY256" s="208"/>
      <c r="BZ256" s="208"/>
      <c r="CA256" s="208"/>
      <c r="CB256" s="208"/>
      <c r="CC256" s="208"/>
      <c r="CD256" s="208"/>
      <c r="CE256" s="208"/>
      <c r="CF256" s="208"/>
      <c r="CG256" s="208"/>
      <c r="CH256" s="208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x14ac:dyDescent="0.25" r="257" customHeight="1" ht="19.5">
      <c r="A257" s="2"/>
      <c r="B257" s="208"/>
      <c r="C257" s="208"/>
      <c r="D257" s="2"/>
      <c r="E257" s="208"/>
      <c r="F257" s="296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"/>
      <c r="Y257" s="208"/>
      <c r="Z257" s="208"/>
      <c r="AA257" s="208"/>
      <c r="AB257" s="208"/>
      <c r="AC257" s="208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  <c r="AS257" s="208"/>
      <c r="AT257" s="208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208"/>
      <c r="BJ257" s="208"/>
      <c r="BK257" s="208"/>
      <c r="BL257" s="208"/>
      <c r="BM257" s="208"/>
      <c r="BN257" s="208"/>
      <c r="BO257" s="208"/>
      <c r="BP257" s="208"/>
      <c r="BQ257" s="208"/>
      <c r="BR257" s="208"/>
      <c r="BS257" s="208"/>
      <c r="BT257" s="208"/>
      <c r="BU257" s="208"/>
      <c r="BV257" s="208"/>
      <c r="BW257" s="208"/>
      <c r="BX257" s="208"/>
      <c r="BY257" s="208"/>
      <c r="BZ257" s="208"/>
      <c r="CA257" s="208"/>
      <c r="CB257" s="208"/>
      <c r="CC257" s="208"/>
      <c r="CD257" s="208"/>
      <c r="CE257" s="208"/>
      <c r="CF257" s="208"/>
      <c r="CG257" s="208"/>
      <c r="CH257" s="208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x14ac:dyDescent="0.25" r="258" customHeight="1" ht="19.5">
      <c r="A258" s="2"/>
      <c r="B258" s="208"/>
      <c r="C258" s="208"/>
      <c r="D258" s="2"/>
      <c r="E258" s="208"/>
      <c r="F258" s="296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"/>
      <c r="Y258" s="208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8"/>
      <c r="AT258" s="208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208"/>
      <c r="BJ258" s="208"/>
      <c r="BK258" s="208"/>
      <c r="BL258" s="208"/>
      <c r="BM258" s="208"/>
      <c r="BN258" s="208"/>
      <c r="BO258" s="208"/>
      <c r="BP258" s="208"/>
      <c r="BQ258" s="208"/>
      <c r="BR258" s="208"/>
      <c r="BS258" s="208"/>
      <c r="BT258" s="208"/>
      <c r="BU258" s="208"/>
      <c r="BV258" s="208"/>
      <c r="BW258" s="208"/>
      <c r="BX258" s="208"/>
      <c r="BY258" s="208"/>
      <c r="BZ258" s="208"/>
      <c r="CA258" s="208"/>
      <c r="CB258" s="208"/>
      <c r="CC258" s="208"/>
      <c r="CD258" s="208"/>
      <c r="CE258" s="208"/>
      <c r="CF258" s="208"/>
      <c r="CG258" s="208"/>
      <c r="CH258" s="208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x14ac:dyDescent="0.25" r="259" customHeight="1" ht="19.5">
      <c r="A259" s="2"/>
      <c r="B259" s="208"/>
      <c r="C259" s="208"/>
      <c r="D259" s="2"/>
      <c r="E259" s="208"/>
      <c r="F259" s="296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8"/>
      <c r="AT259" s="208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208"/>
      <c r="BJ259" s="208"/>
      <c r="BK259" s="208"/>
      <c r="BL259" s="208"/>
      <c r="BM259" s="208"/>
      <c r="BN259" s="208"/>
      <c r="BO259" s="208"/>
      <c r="BP259" s="208"/>
      <c r="BQ259" s="208"/>
      <c r="BR259" s="208"/>
      <c r="BS259" s="208"/>
      <c r="BT259" s="208"/>
      <c r="BU259" s="208"/>
      <c r="BV259" s="208"/>
      <c r="BW259" s="208"/>
      <c r="BX259" s="208"/>
      <c r="BY259" s="208"/>
      <c r="BZ259" s="208"/>
      <c r="CA259" s="208"/>
      <c r="CB259" s="208"/>
      <c r="CC259" s="208"/>
      <c r="CD259" s="208"/>
      <c r="CE259" s="208"/>
      <c r="CF259" s="208"/>
      <c r="CG259" s="208"/>
      <c r="CH259" s="208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x14ac:dyDescent="0.25" r="260" customHeight="1" ht="19.5">
      <c r="A260" s="2"/>
      <c r="B260" s="208"/>
      <c r="C260" s="208"/>
      <c r="D260" s="2"/>
      <c r="E260" s="208"/>
      <c r="F260" s="296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  <c r="AT260" s="208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BX260" s="208"/>
      <c r="BY260" s="208"/>
      <c r="BZ260" s="208"/>
      <c r="CA260" s="208"/>
      <c r="CB260" s="208"/>
      <c r="CC260" s="208"/>
      <c r="CD260" s="208"/>
      <c r="CE260" s="208"/>
      <c r="CF260" s="208"/>
      <c r="CG260" s="208"/>
      <c r="CH260" s="208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x14ac:dyDescent="0.25" r="261" customHeight="1" ht="19.5">
      <c r="A261" s="2"/>
      <c r="B261" s="208"/>
      <c r="C261" s="208"/>
      <c r="D261" s="2"/>
      <c r="E261" s="208"/>
      <c r="F261" s="296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"/>
      <c r="Y261" s="208"/>
      <c r="Z261" s="208"/>
      <c r="AA261" s="208"/>
      <c r="AB261" s="208"/>
      <c r="AC261" s="208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8"/>
      <c r="AT261" s="208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208"/>
      <c r="BJ261" s="208"/>
      <c r="BK261" s="208"/>
      <c r="BL261" s="208"/>
      <c r="BM261" s="208"/>
      <c r="BN261" s="208"/>
      <c r="BO261" s="208"/>
      <c r="BP261" s="208"/>
      <c r="BQ261" s="208"/>
      <c r="BR261" s="208"/>
      <c r="BS261" s="208"/>
      <c r="BT261" s="208"/>
      <c r="BU261" s="208"/>
      <c r="BV261" s="208"/>
      <c r="BW261" s="208"/>
      <c r="BX261" s="208"/>
      <c r="BY261" s="208"/>
      <c r="BZ261" s="208"/>
      <c r="CA261" s="208"/>
      <c r="CB261" s="208"/>
      <c r="CC261" s="208"/>
      <c r="CD261" s="208"/>
      <c r="CE261" s="208"/>
      <c r="CF261" s="208"/>
      <c r="CG261" s="208"/>
      <c r="CH261" s="208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x14ac:dyDescent="0.25" r="262" customHeight="1" ht="19.5">
      <c r="A262" s="2"/>
      <c r="B262" s="208"/>
      <c r="C262" s="208"/>
      <c r="D262" s="2"/>
      <c r="E262" s="208"/>
      <c r="F262" s="296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8"/>
      <c r="AT262" s="208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208"/>
      <c r="BJ262" s="208"/>
      <c r="BK262" s="208"/>
      <c r="BL262" s="208"/>
      <c r="BM262" s="208"/>
      <c r="BN262" s="208"/>
      <c r="BO262" s="208"/>
      <c r="BP262" s="208"/>
      <c r="BQ262" s="208"/>
      <c r="BR262" s="208"/>
      <c r="BS262" s="208"/>
      <c r="BT262" s="208"/>
      <c r="BU262" s="208"/>
      <c r="BV262" s="208"/>
      <c r="BW262" s="208"/>
      <c r="BX262" s="208"/>
      <c r="BY262" s="208"/>
      <c r="BZ262" s="208"/>
      <c r="CA262" s="208"/>
      <c r="CB262" s="208"/>
      <c r="CC262" s="208"/>
      <c r="CD262" s="208"/>
      <c r="CE262" s="208"/>
      <c r="CF262" s="208"/>
      <c r="CG262" s="208"/>
      <c r="CH262" s="208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x14ac:dyDescent="0.25" r="263" customHeight="1" ht="19.5">
      <c r="A263" s="2"/>
      <c r="B263" s="208"/>
      <c r="C263" s="208"/>
      <c r="D263" s="2"/>
      <c r="E263" s="208"/>
      <c r="F263" s="296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08"/>
      <c r="AT263" s="208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208"/>
      <c r="BJ263" s="208"/>
      <c r="BK263" s="208"/>
      <c r="BL263" s="208"/>
      <c r="BM263" s="208"/>
      <c r="BN263" s="208"/>
      <c r="BO263" s="208"/>
      <c r="BP263" s="208"/>
      <c r="BQ263" s="208"/>
      <c r="BR263" s="208"/>
      <c r="BS263" s="208"/>
      <c r="BT263" s="208"/>
      <c r="BU263" s="208"/>
      <c r="BV263" s="208"/>
      <c r="BW263" s="208"/>
      <c r="BX263" s="208"/>
      <c r="BY263" s="208"/>
      <c r="BZ263" s="208"/>
      <c r="CA263" s="208"/>
      <c r="CB263" s="208"/>
      <c r="CC263" s="208"/>
      <c r="CD263" s="208"/>
      <c r="CE263" s="208"/>
      <c r="CF263" s="208"/>
      <c r="CG263" s="208"/>
      <c r="CH263" s="208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x14ac:dyDescent="0.25" r="264" customHeight="1" ht="19.5">
      <c r="A264" s="2"/>
      <c r="B264" s="208"/>
      <c r="C264" s="208"/>
      <c r="D264" s="2"/>
      <c r="E264" s="208"/>
      <c r="F264" s="296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  <c r="AT264" s="208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208"/>
      <c r="BJ264" s="208"/>
      <c r="BK264" s="208"/>
      <c r="BL264" s="208"/>
      <c r="BM264" s="208"/>
      <c r="BN264" s="208"/>
      <c r="BO264" s="208"/>
      <c r="BP264" s="208"/>
      <c r="BQ264" s="208"/>
      <c r="BR264" s="208"/>
      <c r="BS264" s="208"/>
      <c r="BT264" s="208"/>
      <c r="BU264" s="208"/>
      <c r="BV264" s="208"/>
      <c r="BW264" s="208"/>
      <c r="BX264" s="208"/>
      <c r="BY264" s="208"/>
      <c r="BZ264" s="208"/>
      <c r="CA264" s="208"/>
      <c r="CB264" s="208"/>
      <c r="CC264" s="208"/>
      <c r="CD264" s="208"/>
      <c r="CE264" s="208"/>
      <c r="CF264" s="208"/>
      <c r="CG264" s="208"/>
      <c r="CH264" s="208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x14ac:dyDescent="0.25" r="265" customHeight="1" ht="19.5">
      <c r="A265" s="2"/>
      <c r="B265" s="208"/>
      <c r="C265" s="208"/>
      <c r="D265" s="2"/>
      <c r="E265" s="208"/>
      <c r="F265" s="296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  <c r="AT265" s="208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208"/>
      <c r="BJ265" s="208"/>
      <c r="BK265" s="208"/>
      <c r="BL265" s="208"/>
      <c r="BM265" s="208"/>
      <c r="BN265" s="208"/>
      <c r="BO265" s="208"/>
      <c r="BP265" s="208"/>
      <c r="BQ265" s="208"/>
      <c r="BR265" s="208"/>
      <c r="BS265" s="208"/>
      <c r="BT265" s="208"/>
      <c r="BU265" s="208"/>
      <c r="BV265" s="208"/>
      <c r="BW265" s="208"/>
      <c r="BX265" s="208"/>
      <c r="BY265" s="208"/>
      <c r="BZ265" s="208"/>
      <c r="CA265" s="208"/>
      <c r="CB265" s="208"/>
      <c r="CC265" s="208"/>
      <c r="CD265" s="208"/>
      <c r="CE265" s="208"/>
      <c r="CF265" s="208"/>
      <c r="CG265" s="208"/>
      <c r="CH265" s="208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x14ac:dyDescent="0.25" r="266" customHeight="1" ht="19.5">
      <c r="A266" s="2"/>
      <c r="B266" s="208"/>
      <c r="C266" s="208"/>
      <c r="D266" s="2"/>
      <c r="E266" s="208"/>
      <c r="F266" s="296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"/>
      <c r="Y266" s="208"/>
      <c r="Z266" s="208"/>
      <c r="AA266" s="208"/>
      <c r="AB266" s="208"/>
      <c r="AC266" s="208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208"/>
      <c r="BJ266" s="208"/>
      <c r="BK266" s="208"/>
      <c r="BL266" s="208"/>
      <c r="BM266" s="208"/>
      <c r="BN266" s="208"/>
      <c r="BO266" s="208"/>
      <c r="BP266" s="208"/>
      <c r="BQ266" s="208"/>
      <c r="BR266" s="208"/>
      <c r="BS266" s="208"/>
      <c r="BT266" s="208"/>
      <c r="BU266" s="208"/>
      <c r="BV266" s="208"/>
      <c r="BW266" s="208"/>
      <c r="BX266" s="208"/>
      <c r="BY266" s="208"/>
      <c r="BZ266" s="208"/>
      <c r="CA266" s="208"/>
      <c r="CB266" s="208"/>
      <c r="CC266" s="208"/>
      <c r="CD266" s="208"/>
      <c r="CE266" s="208"/>
      <c r="CF266" s="208"/>
      <c r="CG266" s="208"/>
      <c r="CH266" s="208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x14ac:dyDescent="0.25" r="267" customHeight="1" ht="19.5">
      <c r="A267" s="2"/>
      <c r="B267" s="208"/>
      <c r="C267" s="208"/>
      <c r="D267" s="2"/>
      <c r="E267" s="208"/>
      <c r="F267" s="296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"/>
      <c r="Y267" s="208"/>
      <c r="Z267" s="208"/>
      <c r="AA267" s="208"/>
      <c r="AB267" s="208"/>
      <c r="AC267" s="208"/>
      <c r="AD267" s="208"/>
      <c r="AE267" s="208"/>
      <c r="AF267" s="208"/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  <c r="AT267" s="208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208"/>
      <c r="BJ267" s="208"/>
      <c r="BK267" s="208"/>
      <c r="BL267" s="208"/>
      <c r="BM267" s="208"/>
      <c r="BN267" s="208"/>
      <c r="BO267" s="208"/>
      <c r="BP267" s="208"/>
      <c r="BQ267" s="208"/>
      <c r="BR267" s="208"/>
      <c r="BS267" s="208"/>
      <c r="BT267" s="208"/>
      <c r="BU267" s="208"/>
      <c r="BV267" s="208"/>
      <c r="BW267" s="208"/>
      <c r="BX267" s="208"/>
      <c r="BY267" s="208"/>
      <c r="BZ267" s="208"/>
      <c r="CA267" s="208"/>
      <c r="CB267" s="208"/>
      <c r="CC267" s="208"/>
      <c r="CD267" s="208"/>
      <c r="CE267" s="208"/>
      <c r="CF267" s="208"/>
      <c r="CG267" s="208"/>
      <c r="CH267" s="208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x14ac:dyDescent="0.25" r="268" customHeight="1" ht="19.5">
      <c r="A268" s="2"/>
      <c r="B268" s="208"/>
      <c r="C268" s="208"/>
      <c r="D268" s="2"/>
      <c r="E268" s="208"/>
      <c r="F268" s="296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"/>
      <c r="Y268" s="208"/>
      <c r="Z268" s="208"/>
      <c r="AA268" s="208"/>
      <c r="AB268" s="208"/>
      <c r="AC268" s="208"/>
      <c r="AD268" s="208"/>
      <c r="AE268" s="208"/>
      <c r="AF268" s="208"/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  <c r="AT268" s="208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208"/>
      <c r="BT268" s="208"/>
      <c r="BU268" s="208"/>
      <c r="BV268" s="208"/>
      <c r="BW268" s="208"/>
      <c r="BX268" s="208"/>
      <c r="BY268" s="208"/>
      <c r="BZ268" s="208"/>
      <c r="CA268" s="208"/>
      <c r="CB268" s="208"/>
      <c r="CC268" s="208"/>
      <c r="CD268" s="208"/>
      <c r="CE268" s="208"/>
      <c r="CF268" s="208"/>
      <c r="CG268" s="208"/>
      <c r="CH268" s="208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x14ac:dyDescent="0.25" r="269" customHeight="1" ht="19.5">
      <c r="A269" s="2"/>
      <c r="B269" s="208"/>
      <c r="C269" s="208"/>
      <c r="D269" s="2"/>
      <c r="E269" s="208"/>
      <c r="F269" s="296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"/>
      <c r="Y269" s="208"/>
      <c r="Z269" s="208"/>
      <c r="AA269" s="208"/>
      <c r="AB269" s="208"/>
      <c r="AC269" s="208"/>
      <c r="AD269" s="208"/>
      <c r="AE269" s="208"/>
      <c r="AF269" s="208"/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  <c r="AT269" s="208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208"/>
      <c r="BJ269" s="208"/>
      <c r="BK269" s="208"/>
      <c r="BL269" s="208"/>
      <c r="BM269" s="208"/>
      <c r="BN269" s="208"/>
      <c r="BO269" s="208"/>
      <c r="BP269" s="208"/>
      <c r="BQ269" s="208"/>
      <c r="BR269" s="208"/>
      <c r="BS269" s="208"/>
      <c r="BT269" s="208"/>
      <c r="BU269" s="208"/>
      <c r="BV269" s="208"/>
      <c r="BW269" s="208"/>
      <c r="BX269" s="208"/>
      <c r="BY269" s="208"/>
      <c r="BZ269" s="208"/>
      <c r="CA269" s="208"/>
      <c r="CB269" s="208"/>
      <c r="CC269" s="208"/>
      <c r="CD269" s="208"/>
      <c r="CE269" s="208"/>
      <c r="CF269" s="208"/>
      <c r="CG269" s="208"/>
      <c r="CH269" s="208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x14ac:dyDescent="0.25" r="270" customHeight="1" ht="19.5">
      <c r="A270" s="2"/>
      <c r="B270" s="208"/>
      <c r="C270" s="208"/>
      <c r="D270" s="2"/>
      <c r="E270" s="208"/>
      <c r="F270" s="296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"/>
      <c r="Y270" s="208"/>
      <c r="Z270" s="208"/>
      <c r="AA270" s="208"/>
      <c r="AB270" s="208"/>
      <c r="AC270" s="208"/>
      <c r="AD270" s="208"/>
      <c r="AE270" s="208"/>
      <c r="AF270" s="208"/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  <c r="AT270" s="208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208"/>
      <c r="BJ270" s="208"/>
      <c r="BK270" s="208"/>
      <c r="BL270" s="208"/>
      <c r="BM270" s="208"/>
      <c r="BN270" s="208"/>
      <c r="BO270" s="208"/>
      <c r="BP270" s="208"/>
      <c r="BQ270" s="208"/>
      <c r="BR270" s="208"/>
      <c r="BS270" s="208"/>
      <c r="BT270" s="208"/>
      <c r="BU270" s="208"/>
      <c r="BV270" s="208"/>
      <c r="BW270" s="208"/>
      <c r="BX270" s="208"/>
      <c r="BY270" s="208"/>
      <c r="BZ270" s="208"/>
      <c r="CA270" s="208"/>
      <c r="CB270" s="208"/>
      <c r="CC270" s="208"/>
      <c r="CD270" s="208"/>
      <c r="CE270" s="208"/>
      <c r="CF270" s="208"/>
      <c r="CG270" s="208"/>
      <c r="CH270" s="208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x14ac:dyDescent="0.25" r="271" customHeight="1" ht="19.5">
      <c r="A271" s="2"/>
      <c r="B271" s="208"/>
      <c r="C271" s="208"/>
      <c r="D271" s="2"/>
      <c r="E271" s="208"/>
      <c r="F271" s="296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"/>
      <c r="Y271" s="208"/>
      <c r="Z271" s="208"/>
      <c r="AA271" s="208"/>
      <c r="AB271" s="208"/>
      <c r="AC271" s="208"/>
      <c r="AD271" s="208"/>
      <c r="AE271" s="208"/>
      <c r="AF271" s="208"/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  <c r="AT271" s="208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208"/>
      <c r="BJ271" s="208"/>
      <c r="BK271" s="208"/>
      <c r="BL271" s="208"/>
      <c r="BM271" s="208"/>
      <c r="BN271" s="208"/>
      <c r="BO271" s="208"/>
      <c r="BP271" s="208"/>
      <c r="BQ271" s="208"/>
      <c r="BR271" s="208"/>
      <c r="BS271" s="208"/>
      <c r="BT271" s="208"/>
      <c r="BU271" s="208"/>
      <c r="BV271" s="208"/>
      <c r="BW271" s="208"/>
      <c r="BX271" s="208"/>
      <c r="BY271" s="208"/>
      <c r="BZ271" s="208"/>
      <c r="CA271" s="208"/>
      <c r="CB271" s="208"/>
      <c r="CC271" s="208"/>
      <c r="CD271" s="208"/>
      <c r="CE271" s="208"/>
      <c r="CF271" s="208"/>
      <c r="CG271" s="208"/>
      <c r="CH271" s="208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x14ac:dyDescent="0.25" r="272" customHeight="1" ht="19.5">
      <c r="A272" s="2"/>
      <c r="B272" s="208"/>
      <c r="C272" s="208"/>
      <c r="D272" s="2"/>
      <c r="E272" s="208"/>
      <c r="F272" s="296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  <c r="AT272" s="208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x14ac:dyDescent="0.25" r="273" customHeight="1" ht="19.5">
      <c r="A273" s="2"/>
      <c r="B273" s="208"/>
      <c r="C273" s="208"/>
      <c r="D273" s="2"/>
      <c r="E273" s="208"/>
      <c r="F273" s="296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208"/>
      <c r="BN273" s="208"/>
      <c r="BO273" s="208"/>
      <c r="BP273" s="208"/>
      <c r="BQ273" s="208"/>
      <c r="BR273" s="208"/>
      <c r="BS273" s="208"/>
      <c r="BT273" s="208"/>
      <c r="BU273" s="208"/>
      <c r="BV273" s="208"/>
      <c r="BW273" s="208"/>
      <c r="BX273" s="208"/>
      <c r="BY273" s="208"/>
      <c r="BZ273" s="208"/>
      <c r="CA273" s="208"/>
      <c r="CB273" s="208"/>
      <c r="CC273" s="208"/>
      <c r="CD273" s="208"/>
      <c r="CE273" s="208"/>
      <c r="CF273" s="208"/>
      <c r="CG273" s="208"/>
      <c r="CH273" s="208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x14ac:dyDescent="0.25" r="274" customHeight="1" ht="19.5">
      <c r="A274" s="2"/>
      <c r="B274" s="208"/>
      <c r="C274" s="208"/>
      <c r="D274" s="2"/>
      <c r="E274" s="208"/>
      <c r="F274" s="296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208"/>
      <c r="BJ274" s="208"/>
      <c r="BK274" s="208"/>
      <c r="BL274" s="208"/>
      <c r="BM274" s="208"/>
      <c r="BN274" s="208"/>
      <c r="BO274" s="208"/>
      <c r="BP274" s="208"/>
      <c r="BQ274" s="208"/>
      <c r="BR274" s="208"/>
      <c r="BS274" s="208"/>
      <c r="BT274" s="208"/>
      <c r="BU274" s="208"/>
      <c r="BV274" s="208"/>
      <c r="BW274" s="208"/>
      <c r="BX274" s="208"/>
      <c r="BY274" s="208"/>
      <c r="BZ274" s="208"/>
      <c r="CA274" s="208"/>
      <c r="CB274" s="208"/>
      <c r="CC274" s="208"/>
      <c r="CD274" s="208"/>
      <c r="CE274" s="208"/>
      <c r="CF274" s="208"/>
      <c r="CG274" s="208"/>
      <c r="CH274" s="208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x14ac:dyDescent="0.25" r="275" customHeight="1" ht="19.5">
      <c r="A275" s="2"/>
      <c r="B275" s="208"/>
      <c r="C275" s="208"/>
      <c r="D275" s="2"/>
      <c r="E275" s="208"/>
      <c r="F275" s="296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208"/>
      <c r="BJ275" s="208"/>
      <c r="BK275" s="208"/>
      <c r="BL275" s="208"/>
      <c r="BM275" s="208"/>
      <c r="BN275" s="208"/>
      <c r="BO275" s="208"/>
      <c r="BP275" s="208"/>
      <c r="BQ275" s="208"/>
      <c r="BR275" s="208"/>
      <c r="BS275" s="208"/>
      <c r="BT275" s="208"/>
      <c r="BU275" s="208"/>
      <c r="BV275" s="208"/>
      <c r="BW275" s="208"/>
      <c r="BX275" s="208"/>
      <c r="BY275" s="208"/>
      <c r="BZ275" s="208"/>
      <c r="CA275" s="208"/>
      <c r="CB275" s="208"/>
      <c r="CC275" s="208"/>
      <c r="CD275" s="208"/>
      <c r="CE275" s="208"/>
      <c r="CF275" s="208"/>
      <c r="CG275" s="208"/>
      <c r="CH275" s="208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x14ac:dyDescent="0.25" r="276" customHeight="1" ht="19.5">
      <c r="A276" s="2"/>
      <c r="B276" s="208"/>
      <c r="C276" s="208"/>
      <c r="D276" s="2"/>
      <c r="E276" s="208"/>
      <c r="F276" s="296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  <c r="AT276" s="208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208"/>
      <c r="BT276" s="208"/>
      <c r="BU276" s="208"/>
      <c r="BV276" s="208"/>
      <c r="BW276" s="208"/>
      <c r="BX276" s="208"/>
      <c r="BY276" s="208"/>
      <c r="BZ276" s="208"/>
      <c r="CA276" s="208"/>
      <c r="CB276" s="208"/>
      <c r="CC276" s="208"/>
      <c r="CD276" s="208"/>
      <c r="CE276" s="208"/>
      <c r="CF276" s="208"/>
      <c r="CG276" s="208"/>
      <c r="CH276" s="208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x14ac:dyDescent="0.25" r="277" customHeight="1" ht="19.5">
      <c r="A277" s="2"/>
      <c r="B277" s="208"/>
      <c r="C277" s="208"/>
      <c r="D277" s="2"/>
      <c r="E277" s="208"/>
      <c r="F277" s="296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"/>
      <c r="Y277" s="208"/>
      <c r="Z277" s="208"/>
      <c r="AA277" s="208"/>
      <c r="AB277" s="208"/>
      <c r="AC277" s="208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  <c r="AT277" s="208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208"/>
      <c r="BJ277" s="208"/>
      <c r="BK277" s="208"/>
      <c r="BL277" s="208"/>
      <c r="BM277" s="208"/>
      <c r="BN277" s="208"/>
      <c r="BO277" s="208"/>
      <c r="BP277" s="208"/>
      <c r="BQ277" s="208"/>
      <c r="BR277" s="208"/>
      <c r="BS277" s="208"/>
      <c r="BT277" s="208"/>
      <c r="BU277" s="208"/>
      <c r="BV277" s="208"/>
      <c r="BW277" s="208"/>
      <c r="BX277" s="208"/>
      <c r="BY277" s="208"/>
      <c r="BZ277" s="208"/>
      <c r="CA277" s="208"/>
      <c r="CB277" s="208"/>
      <c r="CC277" s="208"/>
      <c r="CD277" s="208"/>
      <c r="CE277" s="208"/>
      <c r="CF277" s="208"/>
      <c r="CG277" s="208"/>
      <c r="CH277" s="208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x14ac:dyDescent="0.25" r="278" customHeight="1" ht="19.5">
      <c r="A278" s="2"/>
      <c r="B278" s="208"/>
      <c r="C278" s="208"/>
      <c r="D278" s="2"/>
      <c r="E278" s="208"/>
      <c r="F278" s="296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"/>
      <c r="Y278" s="208"/>
      <c r="Z278" s="208"/>
      <c r="AA278" s="208"/>
      <c r="AB278" s="208"/>
      <c r="AC278" s="208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  <c r="AT278" s="208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208"/>
      <c r="BJ278" s="208"/>
      <c r="BK278" s="208"/>
      <c r="BL278" s="208"/>
      <c r="BM278" s="208"/>
      <c r="BN278" s="208"/>
      <c r="BO278" s="208"/>
      <c r="BP278" s="208"/>
      <c r="BQ278" s="208"/>
      <c r="BR278" s="208"/>
      <c r="BS278" s="208"/>
      <c r="BT278" s="208"/>
      <c r="BU278" s="208"/>
      <c r="BV278" s="208"/>
      <c r="BW278" s="208"/>
      <c r="BX278" s="208"/>
      <c r="BY278" s="208"/>
      <c r="BZ278" s="208"/>
      <c r="CA278" s="208"/>
      <c r="CB278" s="208"/>
      <c r="CC278" s="208"/>
      <c r="CD278" s="208"/>
      <c r="CE278" s="208"/>
      <c r="CF278" s="208"/>
      <c r="CG278" s="208"/>
      <c r="CH278" s="208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x14ac:dyDescent="0.25" r="279" customHeight="1" ht="19.5">
      <c r="A279" s="2"/>
      <c r="B279" s="208"/>
      <c r="C279" s="208"/>
      <c r="D279" s="2"/>
      <c r="E279" s="208"/>
      <c r="F279" s="296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"/>
      <c r="Y279" s="208"/>
      <c r="Z279" s="208"/>
      <c r="AA279" s="208"/>
      <c r="AB279" s="208"/>
      <c r="AC279" s="208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  <c r="AT279" s="208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208"/>
      <c r="BJ279" s="208"/>
      <c r="BK279" s="208"/>
      <c r="BL279" s="208"/>
      <c r="BM279" s="208"/>
      <c r="BN279" s="208"/>
      <c r="BO279" s="208"/>
      <c r="BP279" s="208"/>
      <c r="BQ279" s="208"/>
      <c r="BR279" s="208"/>
      <c r="BS279" s="208"/>
      <c r="BT279" s="208"/>
      <c r="BU279" s="208"/>
      <c r="BV279" s="208"/>
      <c r="BW279" s="208"/>
      <c r="BX279" s="208"/>
      <c r="BY279" s="208"/>
      <c r="BZ279" s="208"/>
      <c r="CA279" s="208"/>
      <c r="CB279" s="208"/>
      <c r="CC279" s="208"/>
      <c r="CD279" s="208"/>
      <c r="CE279" s="208"/>
      <c r="CF279" s="208"/>
      <c r="CG279" s="208"/>
      <c r="CH279" s="208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x14ac:dyDescent="0.25" r="280" customHeight="1" ht="19.5">
      <c r="A280" s="2"/>
      <c r="B280" s="208"/>
      <c r="C280" s="208"/>
      <c r="D280" s="2"/>
      <c r="E280" s="208"/>
      <c r="F280" s="296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"/>
      <c r="Y280" s="208"/>
      <c r="Z280" s="208"/>
      <c r="AA280" s="208"/>
      <c r="AB280" s="208"/>
      <c r="AC280" s="208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  <c r="AT280" s="208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x14ac:dyDescent="0.25" r="281" customHeight="1" ht="19.5">
      <c r="A281" s="2"/>
      <c r="B281" s="208"/>
      <c r="C281" s="208"/>
      <c r="D281" s="2"/>
      <c r="E281" s="208"/>
      <c r="F281" s="296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"/>
      <c r="Y281" s="208"/>
      <c r="Z281" s="208"/>
      <c r="AA281" s="208"/>
      <c r="AB281" s="208"/>
      <c r="AC281" s="208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  <c r="AT281" s="208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208"/>
      <c r="BJ281" s="208"/>
      <c r="BK281" s="208"/>
      <c r="BL281" s="208"/>
      <c r="BM281" s="208"/>
      <c r="BN281" s="208"/>
      <c r="BO281" s="208"/>
      <c r="BP281" s="208"/>
      <c r="BQ281" s="208"/>
      <c r="BR281" s="208"/>
      <c r="BS281" s="208"/>
      <c r="BT281" s="208"/>
      <c r="BU281" s="208"/>
      <c r="BV281" s="208"/>
      <c r="BW281" s="208"/>
      <c r="BX281" s="208"/>
      <c r="BY281" s="208"/>
      <c r="BZ281" s="208"/>
      <c r="CA281" s="208"/>
      <c r="CB281" s="208"/>
      <c r="CC281" s="208"/>
      <c r="CD281" s="208"/>
      <c r="CE281" s="208"/>
      <c r="CF281" s="208"/>
      <c r="CG281" s="208"/>
      <c r="CH281" s="208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x14ac:dyDescent="0.25" r="282" customHeight="1" ht="19.5">
      <c r="A282" s="2"/>
      <c r="B282" s="208"/>
      <c r="C282" s="208"/>
      <c r="D282" s="2"/>
      <c r="E282" s="208"/>
      <c r="F282" s="296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208"/>
      <c r="BJ282" s="208"/>
      <c r="BK282" s="208"/>
      <c r="BL282" s="208"/>
      <c r="BM282" s="208"/>
      <c r="BN282" s="208"/>
      <c r="BO282" s="208"/>
      <c r="BP282" s="208"/>
      <c r="BQ282" s="208"/>
      <c r="BR282" s="208"/>
      <c r="BS282" s="208"/>
      <c r="BT282" s="208"/>
      <c r="BU282" s="208"/>
      <c r="BV282" s="208"/>
      <c r="BW282" s="208"/>
      <c r="BX282" s="208"/>
      <c r="BY282" s="208"/>
      <c r="BZ282" s="208"/>
      <c r="CA282" s="208"/>
      <c r="CB282" s="208"/>
      <c r="CC282" s="208"/>
      <c r="CD282" s="208"/>
      <c r="CE282" s="208"/>
      <c r="CF282" s="208"/>
      <c r="CG282" s="208"/>
      <c r="CH282" s="208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x14ac:dyDescent="0.25" r="283" customHeight="1" ht="19.5">
      <c r="A283" s="2"/>
      <c r="B283" s="208"/>
      <c r="C283" s="208"/>
      <c r="D283" s="2"/>
      <c r="E283" s="208"/>
      <c r="F283" s="296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208"/>
      <c r="BJ283" s="208"/>
      <c r="BK283" s="208"/>
      <c r="BL283" s="208"/>
      <c r="BM283" s="208"/>
      <c r="BN283" s="208"/>
      <c r="BO283" s="208"/>
      <c r="BP283" s="208"/>
      <c r="BQ283" s="208"/>
      <c r="BR283" s="208"/>
      <c r="BS283" s="208"/>
      <c r="BT283" s="208"/>
      <c r="BU283" s="208"/>
      <c r="BV283" s="208"/>
      <c r="BW283" s="208"/>
      <c r="BX283" s="208"/>
      <c r="BY283" s="208"/>
      <c r="BZ283" s="208"/>
      <c r="CA283" s="208"/>
      <c r="CB283" s="208"/>
      <c r="CC283" s="208"/>
      <c r="CD283" s="208"/>
      <c r="CE283" s="208"/>
      <c r="CF283" s="208"/>
      <c r="CG283" s="208"/>
      <c r="CH283" s="208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x14ac:dyDescent="0.25" r="284" customHeight="1" ht="19.5">
      <c r="A284" s="2"/>
      <c r="B284" s="208"/>
      <c r="C284" s="208"/>
      <c r="D284" s="2"/>
      <c r="E284" s="208"/>
      <c r="F284" s="296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208"/>
      <c r="BT284" s="208"/>
      <c r="BU284" s="208"/>
      <c r="BV284" s="208"/>
      <c r="BW284" s="208"/>
      <c r="BX284" s="208"/>
      <c r="BY284" s="208"/>
      <c r="BZ284" s="208"/>
      <c r="CA284" s="208"/>
      <c r="CB284" s="208"/>
      <c r="CC284" s="208"/>
      <c r="CD284" s="208"/>
      <c r="CE284" s="208"/>
      <c r="CF284" s="208"/>
      <c r="CG284" s="208"/>
      <c r="CH284" s="208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x14ac:dyDescent="0.25" r="285" customHeight="1" ht="19.5">
      <c r="A285" s="2"/>
      <c r="B285" s="208"/>
      <c r="C285" s="208"/>
      <c r="D285" s="2"/>
      <c r="E285" s="208"/>
      <c r="F285" s="296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"/>
      <c r="Y285" s="208"/>
      <c r="Z285" s="208"/>
      <c r="AA285" s="208"/>
      <c r="AB285" s="208"/>
      <c r="AC285" s="208"/>
      <c r="AD285" s="208"/>
      <c r="AE285" s="208"/>
      <c r="AF285" s="208"/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  <c r="AT285" s="208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208"/>
      <c r="BJ285" s="208"/>
      <c r="BK285" s="208"/>
      <c r="BL285" s="208"/>
      <c r="BM285" s="208"/>
      <c r="BN285" s="208"/>
      <c r="BO285" s="208"/>
      <c r="BP285" s="208"/>
      <c r="BQ285" s="208"/>
      <c r="BR285" s="208"/>
      <c r="BS285" s="208"/>
      <c r="BT285" s="208"/>
      <c r="BU285" s="208"/>
      <c r="BV285" s="208"/>
      <c r="BW285" s="208"/>
      <c r="BX285" s="208"/>
      <c r="BY285" s="208"/>
      <c r="BZ285" s="208"/>
      <c r="CA285" s="208"/>
      <c r="CB285" s="208"/>
      <c r="CC285" s="208"/>
      <c r="CD285" s="208"/>
      <c r="CE285" s="208"/>
      <c r="CF285" s="208"/>
      <c r="CG285" s="208"/>
      <c r="CH285" s="208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x14ac:dyDescent="0.25" r="286" customHeight="1" ht="19.5">
      <c r="A286" s="2"/>
      <c r="B286" s="208"/>
      <c r="C286" s="208"/>
      <c r="D286" s="2"/>
      <c r="E286" s="208"/>
      <c r="F286" s="296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  <c r="AT286" s="208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208"/>
      <c r="BJ286" s="208"/>
      <c r="BK286" s="208"/>
      <c r="BL286" s="208"/>
      <c r="BM286" s="208"/>
      <c r="BN286" s="208"/>
      <c r="BO286" s="208"/>
      <c r="BP286" s="208"/>
      <c r="BQ286" s="208"/>
      <c r="BR286" s="208"/>
      <c r="BS286" s="208"/>
      <c r="BT286" s="208"/>
      <c r="BU286" s="208"/>
      <c r="BV286" s="208"/>
      <c r="BW286" s="208"/>
      <c r="BX286" s="208"/>
      <c r="BY286" s="208"/>
      <c r="BZ286" s="208"/>
      <c r="CA286" s="208"/>
      <c r="CB286" s="208"/>
      <c r="CC286" s="208"/>
      <c r="CD286" s="208"/>
      <c r="CE286" s="208"/>
      <c r="CF286" s="208"/>
      <c r="CG286" s="208"/>
      <c r="CH286" s="208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x14ac:dyDescent="0.25" r="287" customHeight="1" ht="19.5">
      <c r="A287" s="2"/>
      <c r="B287" s="208"/>
      <c r="C287" s="208"/>
      <c r="D287" s="2"/>
      <c r="E287" s="208"/>
      <c r="F287" s="296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  <c r="AT287" s="208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208"/>
      <c r="BJ287" s="208"/>
      <c r="BK287" s="208"/>
      <c r="BL287" s="208"/>
      <c r="BM287" s="208"/>
      <c r="BN287" s="208"/>
      <c r="BO287" s="208"/>
      <c r="BP287" s="208"/>
      <c r="BQ287" s="208"/>
      <c r="BR287" s="208"/>
      <c r="BS287" s="208"/>
      <c r="BT287" s="208"/>
      <c r="BU287" s="208"/>
      <c r="BV287" s="208"/>
      <c r="BW287" s="208"/>
      <c r="BX287" s="208"/>
      <c r="BY287" s="208"/>
      <c r="BZ287" s="208"/>
      <c r="CA287" s="208"/>
      <c r="CB287" s="208"/>
      <c r="CC287" s="208"/>
      <c r="CD287" s="208"/>
      <c r="CE287" s="208"/>
      <c r="CF287" s="208"/>
      <c r="CG287" s="208"/>
      <c r="CH287" s="208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x14ac:dyDescent="0.25" r="288" customHeight="1" ht="19.5">
      <c r="A288" s="2"/>
      <c r="B288" s="208"/>
      <c r="C288" s="208"/>
      <c r="D288" s="2"/>
      <c r="E288" s="208"/>
      <c r="F288" s="296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  <c r="AT288" s="208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x14ac:dyDescent="0.25" r="289" customHeight="1" ht="19.5">
      <c r="A289" s="2"/>
      <c r="B289" s="208"/>
      <c r="C289" s="208"/>
      <c r="D289" s="2"/>
      <c r="E289" s="208"/>
      <c r="F289" s="296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  <c r="AT289" s="208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208"/>
      <c r="BJ289" s="208"/>
      <c r="BK289" s="208"/>
      <c r="BL289" s="208"/>
      <c r="BM289" s="208"/>
      <c r="BN289" s="208"/>
      <c r="BO289" s="208"/>
      <c r="BP289" s="208"/>
      <c r="BQ289" s="208"/>
      <c r="BR289" s="208"/>
      <c r="BS289" s="208"/>
      <c r="BT289" s="208"/>
      <c r="BU289" s="208"/>
      <c r="BV289" s="208"/>
      <c r="BW289" s="208"/>
      <c r="BX289" s="208"/>
      <c r="BY289" s="208"/>
      <c r="BZ289" s="208"/>
      <c r="CA289" s="208"/>
      <c r="CB289" s="208"/>
      <c r="CC289" s="208"/>
      <c r="CD289" s="208"/>
      <c r="CE289" s="208"/>
      <c r="CF289" s="208"/>
      <c r="CG289" s="208"/>
      <c r="CH289" s="208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x14ac:dyDescent="0.25" r="290" customHeight="1" ht="19.5">
      <c r="A290" s="2"/>
      <c r="B290" s="208"/>
      <c r="C290" s="208"/>
      <c r="D290" s="2"/>
      <c r="E290" s="208"/>
      <c r="F290" s="296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208"/>
      <c r="BJ290" s="208"/>
      <c r="BK290" s="208"/>
      <c r="BL290" s="208"/>
      <c r="BM290" s="208"/>
      <c r="BN290" s="208"/>
      <c r="BO290" s="208"/>
      <c r="BP290" s="208"/>
      <c r="BQ290" s="208"/>
      <c r="BR290" s="208"/>
      <c r="BS290" s="208"/>
      <c r="BT290" s="208"/>
      <c r="BU290" s="208"/>
      <c r="BV290" s="208"/>
      <c r="BW290" s="208"/>
      <c r="BX290" s="208"/>
      <c r="BY290" s="208"/>
      <c r="BZ290" s="208"/>
      <c r="CA290" s="208"/>
      <c r="CB290" s="208"/>
      <c r="CC290" s="208"/>
      <c r="CD290" s="208"/>
      <c r="CE290" s="208"/>
      <c r="CF290" s="208"/>
      <c r="CG290" s="208"/>
      <c r="CH290" s="208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x14ac:dyDescent="0.25" r="291" customHeight="1" ht="19.5">
      <c r="A291" s="2"/>
      <c r="B291" s="208"/>
      <c r="C291" s="208"/>
      <c r="D291" s="2"/>
      <c r="E291" s="208"/>
      <c r="F291" s="296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208"/>
      <c r="BJ291" s="208"/>
      <c r="BK291" s="208"/>
      <c r="BL291" s="208"/>
      <c r="BM291" s="208"/>
      <c r="BN291" s="208"/>
      <c r="BO291" s="208"/>
      <c r="BP291" s="208"/>
      <c r="BQ291" s="208"/>
      <c r="BR291" s="208"/>
      <c r="BS291" s="208"/>
      <c r="BT291" s="208"/>
      <c r="BU291" s="208"/>
      <c r="BV291" s="208"/>
      <c r="BW291" s="208"/>
      <c r="BX291" s="208"/>
      <c r="BY291" s="208"/>
      <c r="BZ291" s="208"/>
      <c r="CA291" s="208"/>
      <c r="CB291" s="208"/>
      <c r="CC291" s="208"/>
      <c r="CD291" s="208"/>
      <c r="CE291" s="208"/>
      <c r="CF291" s="208"/>
      <c r="CG291" s="208"/>
      <c r="CH291" s="208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x14ac:dyDescent="0.25" r="292" customHeight="1" ht="19.5">
      <c r="A292" s="2"/>
      <c r="B292" s="208"/>
      <c r="C292" s="208"/>
      <c r="D292" s="2"/>
      <c r="E292" s="208"/>
      <c r="F292" s="296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  <c r="AT292" s="208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208"/>
      <c r="BJ292" s="208"/>
      <c r="BK292" s="208"/>
      <c r="BL292" s="208"/>
      <c r="BM292" s="208"/>
      <c r="BN292" s="208"/>
      <c r="BO292" s="208"/>
      <c r="BP292" s="208"/>
      <c r="BQ292" s="208"/>
      <c r="BR292" s="208"/>
      <c r="BS292" s="208"/>
      <c r="BT292" s="208"/>
      <c r="BU292" s="208"/>
      <c r="BV292" s="208"/>
      <c r="BW292" s="208"/>
      <c r="BX292" s="208"/>
      <c r="BY292" s="208"/>
      <c r="BZ292" s="208"/>
      <c r="CA292" s="208"/>
      <c r="CB292" s="208"/>
      <c r="CC292" s="208"/>
      <c r="CD292" s="208"/>
      <c r="CE292" s="208"/>
      <c r="CF292" s="208"/>
      <c r="CG292" s="208"/>
      <c r="CH292" s="208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x14ac:dyDescent="0.25" r="293" customHeight="1" ht="19.5">
      <c r="A293" s="2"/>
      <c r="B293" s="208"/>
      <c r="C293" s="208"/>
      <c r="D293" s="2"/>
      <c r="E293" s="208"/>
      <c r="F293" s="296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  <c r="AT293" s="208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208"/>
      <c r="BJ293" s="208"/>
      <c r="BK293" s="208"/>
      <c r="BL293" s="208"/>
      <c r="BM293" s="208"/>
      <c r="BN293" s="208"/>
      <c r="BO293" s="208"/>
      <c r="BP293" s="208"/>
      <c r="BQ293" s="208"/>
      <c r="BR293" s="208"/>
      <c r="BS293" s="208"/>
      <c r="BT293" s="208"/>
      <c r="BU293" s="208"/>
      <c r="BV293" s="208"/>
      <c r="BW293" s="208"/>
      <c r="BX293" s="208"/>
      <c r="BY293" s="208"/>
      <c r="BZ293" s="208"/>
      <c r="CA293" s="208"/>
      <c r="CB293" s="208"/>
      <c r="CC293" s="208"/>
      <c r="CD293" s="208"/>
      <c r="CE293" s="208"/>
      <c r="CF293" s="208"/>
      <c r="CG293" s="208"/>
      <c r="CH293" s="208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x14ac:dyDescent="0.25" r="294" customHeight="1" ht="19.5">
      <c r="A294" s="2"/>
      <c r="B294" s="208"/>
      <c r="C294" s="208"/>
      <c r="D294" s="2"/>
      <c r="E294" s="208"/>
      <c r="F294" s="296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"/>
      <c r="Y294" s="208"/>
      <c r="Z294" s="208"/>
      <c r="AA294" s="208"/>
      <c r="AB294" s="208"/>
      <c r="AC294" s="208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  <c r="AT294" s="208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208"/>
      <c r="BJ294" s="208"/>
      <c r="BK294" s="208"/>
      <c r="BL294" s="208"/>
      <c r="BM294" s="208"/>
      <c r="BN294" s="208"/>
      <c r="BO294" s="208"/>
      <c r="BP294" s="208"/>
      <c r="BQ294" s="208"/>
      <c r="BR294" s="208"/>
      <c r="BS294" s="208"/>
      <c r="BT294" s="208"/>
      <c r="BU294" s="208"/>
      <c r="BV294" s="208"/>
      <c r="BW294" s="208"/>
      <c r="BX294" s="208"/>
      <c r="BY294" s="208"/>
      <c r="BZ294" s="208"/>
      <c r="CA294" s="208"/>
      <c r="CB294" s="208"/>
      <c r="CC294" s="208"/>
      <c r="CD294" s="208"/>
      <c r="CE294" s="208"/>
      <c r="CF294" s="208"/>
      <c r="CG294" s="208"/>
      <c r="CH294" s="208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x14ac:dyDescent="0.25" r="295" customHeight="1" ht="19.5">
      <c r="A295" s="2"/>
      <c r="B295" s="208"/>
      <c r="C295" s="208"/>
      <c r="D295" s="2"/>
      <c r="E295" s="208"/>
      <c r="F295" s="296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  <c r="AT295" s="208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208"/>
      <c r="BJ295" s="208"/>
      <c r="BK295" s="208"/>
      <c r="BL295" s="208"/>
      <c r="BM295" s="208"/>
      <c r="BN295" s="208"/>
      <c r="BO295" s="208"/>
      <c r="BP295" s="208"/>
      <c r="BQ295" s="208"/>
      <c r="BR295" s="208"/>
      <c r="BS295" s="208"/>
      <c r="BT295" s="208"/>
      <c r="BU295" s="208"/>
      <c r="BV295" s="208"/>
      <c r="BW295" s="208"/>
      <c r="BX295" s="208"/>
      <c r="BY295" s="208"/>
      <c r="BZ295" s="208"/>
      <c r="CA295" s="208"/>
      <c r="CB295" s="208"/>
      <c r="CC295" s="208"/>
      <c r="CD295" s="208"/>
      <c r="CE295" s="208"/>
      <c r="CF295" s="208"/>
      <c r="CG295" s="208"/>
      <c r="CH295" s="208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x14ac:dyDescent="0.25" r="296" customHeight="1" ht="19.5">
      <c r="A296" s="2"/>
      <c r="B296" s="208"/>
      <c r="C296" s="208"/>
      <c r="D296" s="2"/>
      <c r="E296" s="208"/>
      <c r="F296" s="296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"/>
      <c r="Y296" s="208"/>
      <c r="Z296" s="208"/>
      <c r="AA296" s="208"/>
      <c r="AB296" s="208"/>
      <c r="AC296" s="208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  <c r="AT296" s="208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x14ac:dyDescent="0.25" r="297" customHeight="1" ht="19.5">
      <c r="A297" s="2"/>
      <c r="B297" s="208"/>
      <c r="C297" s="208"/>
      <c r="D297" s="2"/>
      <c r="E297" s="208"/>
      <c r="F297" s="296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  <c r="AT297" s="208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208"/>
      <c r="BJ297" s="208"/>
      <c r="BK297" s="208"/>
      <c r="BL297" s="208"/>
      <c r="BM297" s="208"/>
      <c r="BN297" s="208"/>
      <c r="BO297" s="208"/>
      <c r="BP297" s="208"/>
      <c r="BQ297" s="208"/>
      <c r="BR297" s="208"/>
      <c r="BS297" s="208"/>
      <c r="BT297" s="208"/>
      <c r="BU297" s="208"/>
      <c r="BV297" s="208"/>
      <c r="BW297" s="208"/>
      <c r="BX297" s="208"/>
      <c r="BY297" s="208"/>
      <c r="BZ297" s="208"/>
      <c r="CA297" s="208"/>
      <c r="CB297" s="208"/>
      <c r="CC297" s="208"/>
      <c r="CD297" s="208"/>
      <c r="CE297" s="208"/>
      <c r="CF297" s="208"/>
      <c r="CG297" s="208"/>
      <c r="CH297" s="208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x14ac:dyDescent="0.25" r="298" customHeight="1" ht="19.5">
      <c r="A298" s="2"/>
      <c r="B298" s="208"/>
      <c r="C298" s="208"/>
      <c r="D298" s="2"/>
      <c r="E298" s="208"/>
      <c r="F298" s="296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"/>
      <c r="Y298" s="208"/>
      <c r="Z298" s="208"/>
      <c r="AA298" s="208"/>
      <c r="AB298" s="208"/>
      <c r="AC298" s="208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  <c r="AT298" s="208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208"/>
      <c r="BJ298" s="208"/>
      <c r="BK298" s="208"/>
      <c r="BL298" s="208"/>
      <c r="BM298" s="208"/>
      <c r="BN298" s="208"/>
      <c r="BO298" s="208"/>
      <c r="BP298" s="208"/>
      <c r="BQ298" s="208"/>
      <c r="BR298" s="208"/>
      <c r="BS298" s="208"/>
      <c r="BT298" s="208"/>
      <c r="BU298" s="208"/>
      <c r="BV298" s="208"/>
      <c r="BW298" s="208"/>
      <c r="BX298" s="208"/>
      <c r="BY298" s="208"/>
      <c r="BZ298" s="208"/>
      <c r="CA298" s="208"/>
      <c r="CB298" s="208"/>
      <c r="CC298" s="208"/>
      <c r="CD298" s="208"/>
      <c r="CE298" s="208"/>
      <c r="CF298" s="208"/>
      <c r="CG298" s="208"/>
      <c r="CH298" s="208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x14ac:dyDescent="0.25" r="299" customHeight="1" ht="19.5">
      <c r="A299" s="2"/>
      <c r="B299" s="208"/>
      <c r="C299" s="208"/>
      <c r="D299" s="2"/>
      <c r="E299" s="208"/>
      <c r="F299" s="296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  <c r="AT299" s="208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208"/>
      <c r="BJ299" s="208"/>
      <c r="BK299" s="208"/>
      <c r="BL299" s="208"/>
      <c r="BM299" s="208"/>
      <c r="BN299" s="208"/>
      <c r="BO299" s="208"/>
      <c r="BP299" s="208"/>
      <c r="BQ299" s="208"/>
      <c r="BR299" s="208"/>
      <c r="BS299" s="208"/>
      <c r="BT299" s="208"/>
      <c r="BU299" s="208"/>
      <c r="BV299" s="208"/>
      <c r="BW299" s="208"/>
      <c r="BX299" s="208"/>
      <c r="BY299" s="208"/>
      <c r="BZ299" s="208"/>
      <c r="CA299" s="208"/>
      <c r="CB299" s="208"/>
      <c r="CC299" s="208"/>
      <c r="CD299" s="208"/>
      <c r="CE299" s="208"/>
      <c r="CF299" s="208"/>
      <c r="CG299" s="208"/>
      <c r="CH299" s="208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x14ac:dyDescent="0.25" r="300" customHeight="1" ht="19.5">
      <c r="A300" s="2"/>
      <c r="B300" s="208"/>
      <c r="C300" s="208"/>
      <c r="D300" s="2"/>
      <c r="E300" s="208"/>
      <c r="F300" s="296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  <c r="AT300" s="208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208"/>
      <c r="BT300" s="208"/>
      <c r="BU300" s="208"/>
      <c r="BV300" s="208"/>
      <c r="BW300" s="208"/>
      <c r="BX300" s="208"/>
      <c r="BY300" s="208"/>
      <c r="BZ300" s="208"/>
      <c r="CA300" s="208"/>
      <c r="CB300" s="208"/>
      <c r="CC300" s="208"/>
      <c r="CD300" s="208"/>
      <c r="CE300" s="208"/>
      <c r="CF300" s="208"/>
      <c r="CG300" s="208"/>
      <c r="CH300" s="208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x14ac:dyDescent="0.25" r="301" customHeight="1" ht="19.5">
      <c r="A301" s="2"/>
      <c r="B301" s="208"/>
      <c r="C301" s="208"/>
      <c r="D301" s="2"/>
      <c r="E301" s="208"/>
      <c r="F301" s="296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  <c r="AT301" s="208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208"/>
      <c r="BJ301" s="208"/>
      <c r="BK301" s="208"/>
      <c r="BL301" s="208"/>
      <c r="BM301" s="208"/>
      <c r="BN301" s="208"/>
      <c r="BO301" s="208"/>
      <c r="BP301" s="208"/>
      <c r="BQ301" s="208"/>
      <c r="BR301" s="208"/>
      <c r="BS301" s="208"/>
      <c r="BT301" s="208"/>
      <c r="BU301" s="208"/>
      <c r="BV301" s="208"/>
      <c r="BW301" s="208"/>
      <c r="BX301" s="208"/>
      <c r="BY301" s="208"/>
      <c r="BZ301" s="208"/>
      <c r="CA301" s="208"/>
      <c r="CB301" s="208"/>
      <c r="CC301" s="208"/>
      <c r="CD301" s="208"/>
      <c r="CE301" s="208"/>
      <c r="CF301" s="208"/>
      <c r="CG301" s="208"/>
      <c r="CH301" s="208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x14ac:dyDescent="0.25" r="302" customHeight="1" ht="19.5">
      <c r="A302" s="2"/>
      <c r="B302" s="208"/>
      <c r="C302" s="208"/>
      <c r="D302" s="2"/>
      <c r="E302" s="208"/>
      <c r="F302" s="296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  <c r="AT302" s="208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208"/>
      <c r="BJ302" s="208"/>
      <c r="BK302" s="208"/>
      <c r="BL302" s="208"/>
      <c r="BM302" s="208"/>
      <c r="BN302" s="208"/>
      <c r="BO302" s="208"/>
      <c r="BP302" s="208"/>
      <c r="BQ302" s="208"/>
      <c r="BR302" s="208"/>
      <c r="BS302" s="208"/>
      <c r="BT302" s="208"/>
      <c r="BU302" s="208"/>
      <c r="BV302" s="208"/>
      <c r="BW302" s="208"/>
      <c r="BX302" s="208"/>
      <c r="BY302" s="208"/>
      <c r="BZ302" s="208"/>
      <c r="CA302" s="208"/>
      <c r="CB302" s="208"/>
      <c r="CC302" s="208"/>
      <c r="CD302" s="208"/>
      <c r="CE302" s="208"/>
      <c r="CF302" s="208"/>
      <c r="CG302" s="208"/>
      <c r="CH302" s="208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x14ac:dyDescent="0.25" r="303" customHeight="1" ht="19.5">
      <c r="A303" s="2"/>
      <c r="B303" s="208"/>
      <c r="C303" s="208"/>
      <c r="D303" s="2"/>
      <c r="E303" s="208"/>
      <c r="F303" s="296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  <c r="AT303" s="208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208"/>
      <c r="BT303" s="208"/>
      <c r="BU303" s="208"/>
      <c r="BV303" s="208"/>
      <c r="BW303" s="208"/>
      <c r="BX303" s="208"/>
      <c r="BY303" s="208"/>
      <c r="BZ303" s="208"/>
      <c r="CA303" s="208"/>
      <c r="CB303" s="208"/>
      <c r="CC303" s="208"/>
      <c r="CD303" s="208"/>
      <c r="CE303" s="208"/>
      <c r="CF303" s="208"/>
      <c r="CG303" s="208"/>
      <c r="CH303" s="208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x14ac:dyDescent="0.25" r="304" customHeight="1" ht="19.5">
      <c r="A304" s="2"/>
      <c r="B304" s="208"/>
      <c r="C304" s="208"/>
      <c r="D304" s="2"/>
      <c r="E304" s="208"/>
      <c r="F304" s="296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  <c r="AT304" s="208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x14ac:dyDescent="0.25" r="305" customHeight="1" ht="19.5">
      <c r="A305" s="2"/>
      <c r="B305" s="208"/>
      <c r="C305" s="208"/>
      <c r="D305" s="2"/>
      <c r="E305" s="208"/>
      <c r="F305" s="296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"/>
      <c r="Y305" s="208"/>
      <c r="Z305" s="208"/>
      <c r="AA305" s="208"/>
      <c r="AB305" s="208"/>
      <c r="AC305" s="208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  <c r="AT305" s="208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208"/>
      <c r="BT305" s="208"/>
      <c r="BU305" s="208"/>
      <c r="BV305" s="208"/>
      <c r="BW305" s="208"/>
      <c r="BX305" s="208"/>
      <c r="BY305" s="208"/>
      <c r="BZ305" s="208"/>
      <c r="CA305" s="208"/>
      <c r="CB305" s="208"/>
      <c r="CC305" s="208"/>
      <c r="CD305" s="208"/>
      <c r="CE305" s="208"/>
      <c r="CF305" s="208"/>
      <c r="CG305" s="208"/>
      <c r="CH305" s="208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32" width="3.4335714285714283" customWidth="1" bestFit="1"/>
    <col min="2" max="2" style="73" width="55.29071428571429" customWidth="1" bestFit="1"/>
    <col min="3" max="3" style="233" width="17.433571428571426" customWidth="1" bestFit="1"/>
    <col min="4" max="4" style="73" width="13.719285714285713" customWidth="1" bestFit="1"/>
    <col min="5" max="5" style="232" width="8.290714285714287" customWidth="1" bestFit="1"/>
    <col min="6" max="6" style="73" width="9.290714285714287" customWidth="1" bestFit="1"/>
    <col min="7" max="7" style="73" width="9.290714285714287" customWidth="1" bestFit="1"/>
    <col min="8" max="8" style="73" width="9.290714285714287" customWidth="1" bestFit="1"/>
    <col min="9" max="9" style="73" width="9.290714285714287" customWidth="1" bestFit="1"/>
    <col min="10" max="10" style="73" width="9.290714285714287" customWidth="1" bestFit="1"/>
    <col min="11" max="11" style="73" width="9.719285714285713" customWidth="1" bestFit="1"/>
    <col min="12" max="12" style="73" width="10.005" customWidth="1" bestFit="1"/>
  </cols>
  <sheetData>
    <row x14ac:dyDescent="0.25" r="1" customHeight="1" ht="19.5">
      <c r="A1" s="194" t="s">
        <v>0</v>
      </c>
      <c r="B1" s="2"/>
      <c r="C1" s="195"/>
      <c r="D1" s="2"/>
      <c r="E1" s="196"/>
      <c r="F1" s="2"/>
      <c r="G1" s="2"/>
      <c r="H1" s="2"/>
      <c r="I1" s="2"/>
      <c r="J1" s="2"/>
      <c r="K1" s="2"/>
      <c r="L1" s="2"/>
    </row>
    <row x14ac:dyDescent="0.25" r="2" customHeight="1" ht="20.25">
      <c r="A2" s="197" t="s">
        <v>85</v>
      </c>
      <c r="B2" s="2"/>
      <c r="C2" s="198"/>
      <c r="D2" s="2"/>
      <c r="E2" s="199" t="s">
        <v>86</v>
      </c>
      <c r="F2" s="2"/>
      <c r="G2" s="2"/>
      <c r="H2" s="2"/>
      <c r="I2" s="2"/>
      <c r="J2" s="2"/>
      <c r="K2" s="2"/>
      <c r="L2" s="2"/>
    </row>
    <row x14ac:dyDescent="0.25" r="3" customHeight="1" ht="20.25">
      <c r="A3" s="196"/>
      <c r="B3" s="2"/>
      <c r="C3" s="200"/>
      <c r="D3" s="2"/>
      <c r="E3" s="201" t="s">
        <v>87</v>
      </c>
      <c r="F3" s="2"/>
      <c r="G3" s="2"/>
      <c r="H3" s="2"/>
      <c r="I3" s="2"/>
      <c r="J3" s="2"/>
      <c r="K3" s="2"/>
      <c r="L3" s="2"/>
    </row>
    <row x14ac:dyDescent="0.25" r="4" customHeight="1" ht="23.25">
      <c r="A4" s="196"/>
      <c r="B4" s="50" t="s">
        <v>88</v>
      </c>
      <c r="C4" s="200"/>
      <c r="D4" s="2"/>
      <c r="E4" s="202" t="s">
        <v>89</v>
      </c>
      <c r="F4" s="2"/>
      <c r="G4" s="2"/>
      <c r="H4" s="2"/>
      <c r="I4" s="2"/>
      <c r="J4" s="2"/>
      <c r="K4" s="2"/>
      <c r="L4" s="2"/>
    </row>
    <row x14ac:dyDescent="0.25" r="5" customHeight="1" ht="23.25">
      <c r="A5" s="196"/>
      <c r="B5" s="50"/>
      <c r="C5" s="200"/>
      <c r="D5" s="2"/>
      <c r="E5" s="203" t="s">
        <v>90</v>
      </c>
      <c r="F5" s="2"/>
      <c r="G5" s="2"/>
      <c r="H5" s="2"/>
      <c r="I5" s="2"/>
      <c r="J5" s="2"/>
      <c r="K5" s="2"/>
      <c r="L5" s="2"/>
    </row>
    <row x14ac:dyDescent="0.25" r="6" customHeight="1" ht="20.25">
      <c r="A6" s="196"/>
      <c r="B6" s="204" t="s">
        <v>37</v>
      </c>
      <c r="C6" s="205" t="s">
        <v>91</v>
      </c>
      <c r="D6" s="2"/>
      <c r="E6" s="202" t="s">
        <v>92</v>
      </c>
      <c r="F6" s="2"/>
      <c r="G6" s="2"/>
      <c r="H6" s="2"/>
      <c r="I6" s="2"/>
      <c r="J6" s="2"/>
      <c r="K6" s="2"/>
      <c r="L6" s="2"/>
    </row>
    <row x14ac:dyDescent="0.25" r="7" customHeight="1" ht="20.25">
      <c r="A7" s="196"/>
      <c r="B7" s="2" t="s">
        <v>38</v>
      </c>
      <c r="C7" s="206">
        <f>0.2595*2+0.2595*0.2</f>
      </c>
      <c r="D7" s="2"/>
      <c r="E7" s="207" t="s">
        <v>93</v>
      </c>
      <c r="F7" s="2" t="s">
        <v>94</v>
      </c>
      <c r="G7" s="2"/>
      <c r="H7" s="2"/>
      <c r="I7" s="2"/>
      <c r="J7" s="2"/>
      <c r="K7" s="2"/>
      <c r="L7" s="2"/>
    </row>
    <row x14ac:dyDescent="0.25" r="8" customHeight="1" ht="20.25">
      <c r="A8" s="196"/>
      <c r="B8" s="2" t="s">
        <v>39</v>
      </c>
      <c r="C8" s="206">
        <f>(0.178*2)+(0.178*0.2)</f>
      </c>
      <c r="D8" s="2"/>
      <c r="E8" s="207" t="s">
        <v>93</v>
      </c>
      <c r="F8" s="2" t="s">
        <v>94</v>
      </c>
      <c r="G8" s="2"/>
      <c r="H8" s="2"/>
      <c r="I8" s="2"/>
      <c r="J8" s="2"/>
      <c r="K8" s="2"/>
      <c r="L8" s="2"/>
    </row>
    <row x14ac:dyDescent="0.25" r="9" customHeight="1" ht="20.25">
      <c r="A9" s="196"/>
      <c r="B9" s="208" t="s">
        <v>41</v>
      </c>
      <c r="C9" s="206">
        <f>(0.149*2)+(0.149*0.2)</f>
      </c>
      <c r="D9" s="2"/>
      <c r="E9" s="207" t="s">
        <v>95</v>
      </c>
      <c r="F9" s="2" t="s">
        <v>96</v>
      </c>
      <c r="G9" s="2"/>
      <c r="H9" s="2"/>
      <c r="I9" s="2"/>
      <c r="J9" s="2"/>
      <c r="K9" s="2"/>
      <c r="L9" s="2"/>
    </row>
    <row x14ac:dyDescent="0.25" r="10" customHeight="1" ht="20.25">
      <c r="A10" s="196"/>
      <c r="B10" s="208" t="s">
        <v>42</v>
      </c>
      <c r="C10" s="206">
        <f>(0.135*2)+(0.135*0.2)</f>
      </c>
      <c r="D10" s="2"/>
      <c r="E10" s="207" t="s">
        <v>95</v>
      </c>
      <c r="F10" s="2" t="s">
        <v>96</v>
      </c>
      <c r="G10" s="2"/>
      <c r="H10" s="2"/>
      <c r="I10" s="2"/>
      <c r="J10" s="2"/>
      <c r="K10" s="2"/>
      <c r="L10" s="2"/>
    </row>
    <row x14ac:dyDescent="0.25" r="11" customHeight="1" ht="20.25">
      <c r="A11" s="196"/>
      <c r="B11" s="2"/>
      <c r="C11" s="200"/>
      <c r="D11" s="2"/>
      <c r="E11" s="196"/>
      <c r="F11" s="2"/>
      <c r="G11" s="2"/>
      <c r="H11" s="2"/>
      <c r="I11" s="2"/>
      <c r="J11" s="2"/>
      <c r="K11" s="2"/>
      <c r="L11" s="2"/>
    </row>
    <row x14ac:dyDescent="0.25" r="12" customHeight="1" ht="20.25">
      <c r="A12" s="196"/>
      <c r="B12" s="204" t="s">
        <v>97</v>
      </c>
      <c r="C12" s="205" t="s">
        <v>98</v>
      </c>
      <c r="D12" s="209"/>
      <c r="E12" s="196"/>
      <c r="F12" s="2"/>
      <c r="G12" s="2"/>
      <c r="H12" s="2"/>
      <c r="I12" s="2"/>
      <c r="J12" s="2"/>
      <c r="K12" s="2"/>
      <c r="L12" s="2"/>
    </row>
    <row x14ac:dyDescent="0.25" r="13" customHeight="1" ht="20.25">
      <c r="A13" s="196"/>
      <c r="B13" s="2" t="s">
        <v>99</v>
      </c>
      <c r="C13" s="206">
        <f>0.152*1.2</f>
      </c>
      <c r="D13" s="2"/>
      <c r="E13" s="207" t="s">
        <v>100</v>
      </c>
      <c r="F13" s="2" t="s">
        <v>101</v>
      </c>
      <c r="G13" s="2"/>
      <c r="H13" s="2"/>
      <c r="I13" s="2"/>
      <c r="J13" s="2"/>
      <c r="K13" s="2"/>
      <c r="L13" s="2"/>
    </row>
    <row x14ac:dyDescent="0.25" r="14" customHeight="1" ht="20.25">
      <c r="A14" s="196"/>
      <c r="B14" s="208" t="s">
        <v>102</v>
      </c>
      <c r="C14" s="206">
        <f>0.141*1.2</f>
      </c>
      <c r="D14" s="2"/>
      <c r="E14" s="207" t="s">
        <v>100</v>
      </c>
      <c r="F14" s="2" t="s">
        <v>101</v>
      </c>
      <c r="G14" s="2"/>
      <c r="H14" s="2"/>
      <c r="I14" s="2"/>
      <c r="J14" s="2"/>
      <c r="K14" s="2"/>
      <c r="L14" s="210"/>
    </row>
    <row x14ac:dyDescent="0.25" r="15" customHeight="1" ht="20.25">
      <c r="A15" s="196"/>
      <c r="B15" s="208" t="s">
        <v>103</v>
      </c>
      <c r="C15" s="206">
        <f>0.159*1.2</f>
      </c>
      <c r="D15" s="2"/>
      <c r="E15" s="207" t="s">
        <v>100</v>
      </c>
      <c r="F15" s="2" t="s">
        <v>101</v>
      </c>
      <c r="G15" s="2"/>
      <c r="H15" s="2"/>
      <c r="I15" s="2"/>
      <c r="J15" s="2"/>
      <c r="K15" s="2"/>
      <c r="L15" s="2"/>
    </row>
    <row x14ac:dyDescent="0.25" r="16" customHeight="1" ht="20.25">
      <c r="A16" s="196"/>
      <c r="B16" s="2" t="s">
        <v>104</v>
      </c>
      <c r="C16" s="206">
        <f>0.0701*1.2</f>
      </c>
      <c r="D16" s="2"/>
      <c r="E16" s="207" t="s">
        <v>100</v>
      </c>
      <c r="F16" s="2" t="s">
        <v>101</v>
      </c>
      <c r="G16" s="2"/>
      <c r="H16" s="2"/>
      <c r="I16" s="2"/>
      <c r="J16" s="2"/>
      <c r="K16" s="2"/>
      <c r="L16" s="2"/>
    </row>
    <row x14ac:dyDescent="0.25" r="17" customHeight="1" ht="20.25">
      <c r="A17" s="196"/>
      <c r="B17" s="208" t="s">
        <v>105</v>
      </c>
      <c r="C17" s="206">
        <f>0.95*4.5/100</f>
      </c>
      <c r="D17" s="210"/>
      <c r="E17" s="211">
        <v>31</v>
      </c>
      <c r="F17" s="208" t="s">
        <v>106</v>
      </c>
      <c r="G17" s="2"/>
      <c r="H17" s="2"/>
      <c r="I17" s="2"/>
      <c r="J17" s="2"/>
      <c r="K17" s="2"/>
      <c r="L17" s="2"/>
    </row>
    <row x14ac:dyDescent="0.25" r="18" customHeight="1" ht="20.25">
      <c r="A18" s="196"/>
      <c r="B18" s="2" t="s">
        <v>107</v>
      </c>
      <c r="C18" s="206">
        <f>0.0188/100*C56+0.00195</f>
      </c>
      <c r="D18" s="2"/>
      <c r="E18" s="207" t="s">
        <v>108</v>
      </c>
      <c r="F18" s="2" t="s">
        <v>109</v>
      </c>
      <c r="G18" s="2"/>
      <c r="H18" s="2"/>
      <c r="I18" s="2"/>
      <c r="J18" s="2"/>
      <c r="K18" s="2"/>
      <c r="L18" s="2"/>
    </row>
    <row x14ac:dyDescent="0.25" r="19" customHeight="1" ht="20.25">
      <c r="A19" s="196"/>
      <c r="B19" s="212" t="s">
        <v>110</v>
      </c>
      <c r="C19" s="206">
        <f>0.114*1.2</f>
      </c>
      <c r="D19" s="2"/>
      <c r="E19" s="213">
        <v>13</v>
      </c>
      <c r="F19" s="2" t="s">
        <v>111</v>
      </c>
      <c r="G19" s="2"/>
      <c r="H19" s="2"/>
      <c r="I19" s="2"/>
      <c r="J19" s="2"/>
      <c r="K19" s="2"/>
      <c r="L19" s="2"/>
    </row>
    <row x14ac:dyDescent="0.25" r="20" customHeight="1" ht="19.5">
      <c r="A20" s="196"/>
      <c r="B20" s="212" t="s">
        <v>112</v>
      </c>
      <c r="C20" s="206">
        <f>0.084*1.2</f>
      </c>
      <c r="D20" s="2"/>
      <c r="E20" s="213">
        <v>13</v>
      </c>
      <c r="F20" s="2" t="s">
        <v>111</v>
      </c>
      <c r="G20" s="2"/>
      <c r="H20" s="2"/>
      <c r="I20" s="2"/>
      <c r="J20" s="2"/>
      <c r="K20" s="2"/>
      <c r="L20" s="2"/>
    </row>
    <row x14ac:dyDescent="0.25" r="21" customHeight="1" ht="19.5">
      <c r="A21" s="196"/>
      <c r="B21" s="212"/>
      <c r="C21" s="206"/>
      <c r="D21" s="2"/>
      <c r="E21" s="196"/>
      <c r="F21" s="208"/>
      <c r="G21" s="2"/>
      <c r="H21" s="2"/>
      <c r="I21" s="2"/>
      <c r="J21" s="2"/>
      <c r="K21" s="2"/>
      <c r="L21" s="2"/>
    </row>
    <row x14ac:dyDescent="0.25" r="22" customHeight="1" ht="19.5">
      <c r="A22" s="196"/>
      <c r="B22" s="204" t="s">
        <v>32</v>
      </c>
      <c r="C22" s="205" t="s">
        <v>98</v>
      </c>
      <c r="D22" s="2"/>
      <c r="E22" s="196"/>
      <c r="F22" s="208"/>
      <c r="G22" s="2"/>
      <c r="H22" s="2"/>
      <c r="I22" s="2"/>
      <c r="J22" s="2"/>
      <c r="K22" s="2"/>
      <c r="L22" s="2"/>
    </row>
    <row x14ac:dyDescent="0.25" r="23" customHeight="1" ht="19.5">
      <c r="A23" s="196"/>
      <c r="B23" s="212" t="s">
        <v>113</v>
      </c>
      <c r="C23" s="206">
        <f>0.112*1.2</f>
      </c>
      <c r="D23" s="2"/>
      <c r="E23" s="207">
        <v>34</v>
      </c>
      <c r="F23" s="208" t="s">
        <v>114</v>
      </c>
      <c r="G23" s="2"/>
      <c r="H23" s="2"/>
      <c r="I23" s="2"/>
      <c r="J23" s="2"/>
      <c r="K23" s="2"/>
      <c r="L23" s="2"/>
    </row>
    <row x14ac:dyDescent="0.25" r="24" customHeight="1" ht="19.5">
      <c r="A24" s="196"/>
      <c r="B24" s="212" t="s">
        <v>115</v>
      </c>
      <c r="C24" s="206">
        <f>0.068*1.2</f>
      </c>
      <c r="D24" s="2"/>
      <c r="E24" s="207">
        <v>40</v>
      </c>
      <c r="F24" s="208" t="s">
        <v>114</v>
      </c>
      <c r="G24" s="2"/>
      <c r="H24" s="2"/>
      <c r="I24" s="2"/>
      <c r="J24" s="2"/>
      <c r="K24" s="2"/>
      <c r="L24" s="2"/>
    </row>
    <row x14ac:dyDescent="0.25" r="25" customHeight="1" ht="19.5">
      <c r="A25" s="196"/>
      <c r="B25" s="212" t="s">
        <v>116</v>
      </c>
      <c r="C25" s="206">
        <f>0.128*1.2</f>
      </c>
      <c r="D25" s="2"/>
      <c r="E25" s="207">
        <v>35</v>
      </c>
      <c r="F25" s="208" t="s">
        <v>114</v>
      </c>
      <c r="G25" s="2"/>
      <c r="H25" s="2"/>
      <c r="I25" s="2"/>
      <c r="J25" s="2"/>
      <c r="K25" s="2"/>
      <c r="L25" s="2"/>
    </row>
    <row x14ac:dyDescent="0.25" r="26" customHeight="1" ht="19.5">
      <c r="A26" s="196"/>
      <c r="B26" s="212" t="s">
        <v>117</v>
      </c>
      <c r="C26" s="206">
        <v>0.0452</v>
      </c>
      <c r="D26" s="2"/>
      <c r="E26" s="207">
        <v>38</v>
      </c>
      <c r="F26" s="208" t="s">
        <v>118</v>
      </c>
      <c r="G26" s="2"/>
      <c r="H26" s="2"/>
      <c r="I26" s="2"/>
      <c r="J26" s="2"/>
      <c r="K26" s="2"/>
      <c r="L26" s="2"/>
    </row>
    <row x14ac:dyDescent="0.25" r="27" customHeight="1" ht="19.5">
      <c r="A27" s="196"/>
      <c r="B27" s="212" t="s">
        <v>119</v>
      </c>
      <c r="C27" s="214">
        <f>0.0012*(C56/1000)</f>
      </c>
      <c r="D27" s="2"/>
      <c r="E27" s="207" t="s">
        <v>120</v>
      </c>
      <c r="F27" s="208" t="s">
        <v>121</v>
      </c>
      <c r="G27" s="2"/>
      <c r="H27" s="2"/>
      <c r="I27" s="2"/>
      <c r="J27" s="2"/>
      <c r="K27" s="2"/>
      <c r="L27" s="2"/>
    </row>
    <row x14ac:dyDescent="0.25" r="28" customHeight="1" ht="19.5">
      <c r="A28" s="196"/>
      <c r="B28" s="212"/>
      <c r="C28" s="206"/>
      <c r="D28" s="2"/>
      <c r="E28" s="196"/>
      <c r="F28" s="208"/>
      <c r="G28" s="2"/>
      <c r="H28" s="2"/>
      <c r="I28" s="2"/>
      <c r="J28" s="2"/>
      <c r="K28" s="2"/>
      <c r="L28" s="2"/>
    </row>
    <row x14ac:dyDescent="0.25" r="29" customHeight="1" ht="19.5">
      <c r="A29" s="196"/>
      <c r="B29" s="212"/>
      <c r="C29" s="205" t="s">
        <v>122</v>
      </c>
      <c r="D29" s="2"/>
      <c r="E29" s="196"/>
      <c r="F29" s="208"/>
      <c r="G29" s="2"/>
      <c r="H29" s="2"/>
      <c r="I29" s="2"/>
      <c r="J29" s="2"/>
      <c r="K29" s="2"/>
      <c r="L29" s="2"/>
    </row>
    <row x14ac:dyDescent="0.25" r="30" customHeight="1" ht="19.5">
      <c r="A30" s="196"/>
      <c r="B30" s="212" t="s">
        <v>123</v>
      </c>
      <c r="C30" s="206">
        <v>2.673</v>
      </c>
      <c r="D30" s="2"/>
      <c r="E30" s="207">
        <v>58</v>
      </c>
      <c r="F30" s="208" t="s">
        <v>124</v>
      </c>
      <c r="G30" s="2"/>
      <c r="H30" s="2"/>
      <c r="I30" s="2"/>
      <c r="J30" s="2"/>
      <c r="K30" s="2"/>
      <c r="L30" s="2"/>
    </row>
    <row x14ac:dyDescent="0.25" r="31" customHeight="1" ht="19.5">
      <c r="A31" s="196"/>
      <c r="B31" s="212" t="s">
        <v>125</v>
      </c>
      <c r="C31" s="206">
        <v>2.679</v>
      </c>
      <c r="D31" s="2"/>
      <c r="E31" s="207">
        <v>59</v>
      </c>
      <c r="F31" s="208" t="s">
        <v>124</v>
      </c>
      <c r="G31" s="2"/>
      <c r="H31" s="2"/>
      <c r="I31" s="2"/>
      <c r="J31" s="2"/>
      <c r="K31" s="2"/>
      <c r="L31" s="2"/>
    </row>
    <row x14ac:dyDescent="0.25" r="32" customHeight="1" ht="19.5">
      <c r="A32" s="196"/>
      <c r="B32" s="212" t="s">
        <v>126</v>
      </c>
      <c r="C32" s="206">
        <v>1.469</v>
      </c>
      <c r="D32" s="2"/>
      <c r="E32" s="207">
        <v>36</v>
      </c>
      <c r="F32" s="208" t="s">
        <v>114</v>
      </c>
      <c r="G32" s="2"/>
      <c r="H32" s="2"/>
      <c r="I32" s="2"/>
      <c r="J32" s="2"/>
      <c r="K32" s="2"/>
      <c r="L32" s="2"/>
    </row>
    <row x14ac:dyDescent="0.25" r="33" customHeight="1" ht="19.5">
      <c r="A33" s="196"/>
      <c r="B33" s="212"/>
      <c r="C33" s="215"/>
      <c r="D33" s="2"/>
      <c r="E33" s="196"/>
      <c r="F33" s="208"/>
      <c r="G33" s="2"/>
      <c r="H33" s="2"/>
      <c r="I33" s="2"/>
      <c r="J33" s="2"/>
      <c r="K33" s="2"/>
      <c r="L33" s="2"/>
    </row>
    <row x14ac:dyDescent="0.25" r="34" customHeight="1" ht="19.5">
      <c r="A34" s="196"/>
      <c r="B34" s="204" t="s">
        <v>46</v>
      </c>
      <c r="C34" s="205" t="s">
        <v>91</v>
      </c>
      <c r="D34" s="2"/>
      <c r="E34" s="196"/>
      <c r="F34" s="2"/>
      <c r="G34" s="2"/>
      <c r="H34" s="2"/>
      <c r="I34" s="2"/>
      <c r="J34" s="2"/>
      <c r="K34" s="2"/>
      <c r="L34" s="2"/>
    </row>
    <row x14ac:dyDescent="0.25" r="35" customHeight="1" ht="19.5">
      <c r="A35" s="196"/>
      <c r="B35" s="2" t="s">
        <v>127</v>
      </c>
      <c r="C35" s="206">
        <f>0.053*1.2</f>
      </c>
      <c r="D35" s="2"/>
      <c r="E35" s="207" t="s">
        <v>100</v>
      </c>
      <c r="F35" s="2" t="s">
        <v>101</v>
      </c>
      <c r="G35" s="2"/>
      <c r="H35" s="2"/>
      <c r="I35" s="2"/>
      <c r="J35" s="2"/>
      <c r="K35" s="2"/>
      <c r="L35" s="2"/>
    </row>
    <row x14ac:dyDescent="0.25" r="36" customHeight="1" ht="19.5">
      <c r="A36" s="196"/>
      <c r="B36" s="2" t="s">
        <v>128</v>
      </c>
      <c r="C36" s="206">
        <v>0</v>
      </c>
      <c r="D36" s="2"/>
      <c r="E36" s="207">
        <v>25</v>
      </c>
      <c r="F36" s="2" t="s">
        <v>129</v>
      </c>
      <c r="G36" s="2"/>
      <c r="H36" s="2"/>
      <c r="I36" s="2"/>
      <c r="J36" s="2"/>
      <c r="K36" s="2"/>
      <c r="L36" s="2"/>
    </row>
    <row x14ac:dyDescent="0.25" r="37" customHeight="1" ht="19.5">
      <c r="A37" s="196"/>
      <c r="B37" s="2" t="s">
        <v>130</v>
      </c>
      <c r="C37" s="206">
        <v>0</v>
      </c>
      <c r="D37" s="2"/>
      <c r="E37" s="207">
        <v>36</v>
      </c>
      <c r="F37" s="2" t="s">
        <v>114</v>
      </c>
      <c r="G37" s="2"/>
      <c r="H37" s="2"/>
      <c r="I37" s="2"/>
      <c r="J37" s="2"/>
      <c r="K37" s="2"/>
      <c r="L37" s="2"/>
    </row>
    <row x14ac:dyDescent="0.25" r="38" customHeight="1" ht="19.5">
      <c r="A38" s="196"/>
      <c r="B38" s="2" t="s">
        <v>131</v>
      </c>
      <c r="C38" s="206">
        <f>0.053*1.2</f>
      </c>
      <c r="D38" s="2"/>
      <c r="E38" s="207">
        <v>36</v>
      </c>
      <c r="F38" s="2" t="s">
        <v>132</v>
      </c>
      <c r="G38" s="2"/>
      <c r="H38" s="2"/>
      <c r="I38" s="2"/>
      <c r="J38" s="2"/>
      <c r="K38" s="2"/>
      <c r="L38" s="2"/>
    </row>
    <row x14ac:dyDescent="0.25" r="39" customHeight="1" ht="19.5">
      <c r="A39" s="196"/>
      <c r="B39" s="2" t="s">
        <v>133</v>
      </c>
      <c r="C39" s="206">
        <v>0</v>
      </c>
      <c r="D39" s="2"/>
      <c r="E39" s="207">
        <v>13</v>
      </c>
      <c r="F39" s="2" t="s">
        <v>111</v>
      </c>
      <c r="G39" s="2"/>
      <c r="H39" s="2"/>
      <c r="I39" s="2"/>
      <c r="J39" s="2"/>
      <c r="K39" s="2"/>
      <c r="L39" s="2"/>
    </row>
    <row x14ac:dyDescent="0.25" r="40" customHeight="1" ht="19.5">
      <c r="A40" s="196"/>
      <c r="B40" s="2" t="s">
        <v>134</v>
      </c>
      <c r="C40" s="206">
        <v>0</v>
      </c>
      <c r="D40" s="2"/>
      <c r="E40" s="207">
        <v>13</v>
      </c>
      <c r="F40" s="2" t="s">
        <v>111</v>
      </c>
      <c r="G40" s="2"/>
      <c r="H40" s="2"/>
      <c r="I40" s="2"/>
      <c r="J40" s="2"/>
      <c r="K40" s="2"/>
      <c r="L40" s="2"/>
    </row>
    <row x14ac:dyDescent="0.25" r="41" customHeight="1" ht="19.5">
      <c r="A41" s="196"/>
      <c r="B41" s="2"/>
      <c r="C41" s="205" t="s">
        <v>135</v>
      </c>
      <c r="D41" s="2"/>
      <c r="E41" s="196"/>
      <c r="F41" s="2"/>
      <c r="G41" s="2"/>
      <c r="H41" s="2"/>
      <c r="I41" s="2"/>
      <c r="J41" s="2"/>
      <c r="K41" s="2"/>
      <c r="L41" s="2"/>
    </row>
    <row x14ac:dyDescent="0.25" r="42" customHeight="1" ht="19.5">
      <c r="A42" s="196"/>
      <c r="B42" s="208" t="s">
        <v>136</v>
      </c>
      <c r="C42" s="206">
        <v>0.1</v>
      </c>
      <c r="D42" s="2"/>
      <c r="E42" s="207">
        <v>23</v>
      </c>
      <c r="F42" s="208" t="s">
        <v>137</v>
      </c>
      <c r="G42" s="2"/>
      <c r="H42" s="2"/>
      <c r="I42" s="2"/>
      <c r="J42" s="2"/>
      <c r="K42" s="2"/>
      <c r="L42" s="2"/>
    </row>
    <row x14ac:dyDescent="0.25" r="43" customHeight="1" ht="19.5">
      <c r="A43" s="196"/>
      <c r="B43" s="208" t="s">
        <v>138</v>
      </c>
      <c r="C43" s="206">
        <v>0.18</v>
      </c>
      <c r="D43" s="2"/>
      <c r="E43" s="207">
        <v>23</v>
      </c>
      <c r="F43" s="208" t="s">
        <v>137</v>
      </c>
      <c r="G43" s="2"/>
      <c r="H43" s="2"/>
      <c r="I43" s="2"/>
      <c r="J43" s="2"/>
      <c r="K43" s="2"/>
      <c r="L43" s="2"/>
    </row>
    <row x14ac:dyDescent="0.25" r="44" customHeight="1" ht="19.5">
      <c r="A44" s="196"/>
      <c r="B44" s="210"/>
      <c r="C44" s="200"/>
      <c r="D44" s="2"/>
      <c r="E44" s="196"/>
      <c r="F44" s="208"/>
      <c r="G44" s="2"/>
      <c r="H44" s="2"/>
      <c r="I44" s="2"/>
      <c r="J44" s="2"/>
      <c r="K44" s="2"/>
      <c r="L44" s="2"/>
    </row>
    <row x14ac:dyDescent="0.25" r="45" customHeight="1" ht="19.5">
      <c r="A45" s="196"/>
      <c r="B45" s="204" t="s">
        <v>139</v>
      </c>
      <c r="C45" s="205" t="s">
        <v>91</v>
      </c>
      <c r="D45" s="2"/>
      <c r="E45" s="196"/>
      <c r="F45" s="2"/>
      <c r="G45" s="2"/>
      <c r="H45" s="2"/>
      <c r="I45" s="2"/>
      <c r="J45" s="2"/>
      <c r="K45" s="2"/>
      <c r="L45" s="2"/>
    </row>
    <row x14ac:dyDescent="0.25" r="46" customHeight="1" ht="19.5">
      <c r="A46" s="196"/>
      <c r="B46" s="2" t="s">
        <v>140</v>
      </c>
      <c r="C46" s="206">
        <f>0.144*1.2</f>
      </c>
      <c r="D46" s="2"/>
      <c r="E46" s="207" t="s">
        <v>100</v>
      </c>
      <c r="F46" s="2" t="s">
        <v>101</v>
      </c>
      <c r="G46" s="2"/>
      <c r="H46" s="2"/>
      <c r="I46" s="2"/>
      <c r="J46" s="2"/>
      <c r="K46" s="2"/>
      <c r="L46" s="2"/>
    </row>
    <row x14ac:dyDescent="0.25" r="47" customHeight="1" ht="19.5">
      <c r="A47" s="196"/>
      <c r="B47" s="2"/>
      <c r="C47" s="205" t="s">
        <v>135</v>
      </c>
      <c r="D47" s="2"/>
      <c r="E47" s="196"/>
      <c r="F47" s="2"/>
      <c r="G47" s="2"/>
      <c r="H47" s="2"/>
      <c r="I47" s="2"/>
      <c r="J47" s="2"/>
      <c r="K47" s="2"/>
      <c r="L47" s="2"/>
    </row>
    <row x14ac:dyDescent="0.25" r="48" customHeight="1" ht="19.5">
      <c r="A48" s="196"/>
      <c r="B48" s="2" t="s">
        <v>51</v>
      </c>
      <c r="C48" s="206">
        <f>0.574*1.2</f>
      </c>
      <c r="D48" s="2"/>
      <c r="E48" s="207" t="s">
        <v>100</v>
      </c>
      <c r="F48" s="2" t="s">
        <v>101</v>
      </c>
      <c r="G48" s="2"/>
      <c r="H48" s="2"/>
      <c r="I48" s="2"/>
      <c r="J48" s="2"/>
      <c r="K48" s="2"/>
      <c r="L48" s="2"/>
    </row>
    <row x14ac:dyDescent="0.25" r="49" customHeight="1" ht="19.5">
      <c r="A49" s="196"/>
      <c r="B49" s="216" t="s">
        <v>44</v>
      </c>
      <c r="C49" s="206">
        <v>0.18</v>
      </c>
      <c r="D49" s="2"/>
      <c r="E49" s="207">
        <v>23</v>
      </c>
      <c r="F49" s="2" t="s">
        <v>141</v>
      </c>
      <c r="G49" s="2"/>
      <c r="H49" s="2"/>
      <c r="I49" s="2"/>
      <c r="J49" s="2"/>
      <c r="K49" s="2"/>
      <c r="L49" s="2"/>
    </row>
    <row x14ac:dyDescent="0.25" r="50" customHeight="1" ht="19.5">
      <c r="A50" s="217" t="s">
        <v>35</v>
      </c>
      <c r="B50" s="212" t="s">
        <v>52</v>
      </c>
      <c r="C50" s="206">
        <v>0.18</v>
      </c>
      <c r="D50" s="2"/>
      <c r="E50" s="207">
        <v>23</v>
      </c>
      <c r="F50" s="208" t="s">
        <v>137</v>
      </c>
      <c r="G50" s="2"/>
      <c r="H50" s="2"/>
      <c r="I50" s="2"/>
      <c r="J50" s="2"/>
      <c r="K50" s="2"/>
      <c r="L50" s="2"/>
    </row>
    <row x14ac:dyDescent="0.25" r="51" customHeight="1" ht="19.5">
      <c r="A51" s="196"/>
      <c r="B51" s="212"/>
      <c r="C51" s="206"/>
      <c r="D51" s="2"/>
      <c r="E51" s="196"/>
      <c r="F51" s="208"/>
      <c r="G51" s="2"/>
      <c r="H51" s="2"/>
      <c r="I51" s="2"/>
      <c r="J51" s="2"/>
      <c r="K51" s="2"/>
      <c r="L51" s="2"/>
    </row>
    <row x14ac:dyDescent="0.25" r="52" customHeight="1" ht="19.5">
      <c r="A52" s="196"/>
      <c r="B52" s="50" t="s">
        <v>142</v>
      </c>
      <c r="C52" s="200"/>
      <c r="D52" s="2"/>
      <c r="E52" s="196"/>
      <c r="F52" s="2"/>
      <c r="G52" s="2"/>
      <c r="H52" s="2"/>
      <c r="I52" s="2"/>
      <c r="J52" s="2"/>
      <c r="K52" s="2"/>
      <c r="L52" s="2"/>
    </row>
    <row x14ac:dyDescent="0.25" r="53" customHeight="1" ht="14.699999999999998">
      <c r="A53" s="196"/>
      <c r="B53" s="2"/>
      <c r="C53" s="200"/>
      <c r="D53" s="212" t="s">
        <v>143</v>
      </c>
      <c r="E53" s="196"/>
      <c r="F53" s="2"/>
      <c r="G53" s="2"/>
      <c r="H53" s="2"/>
      <c r="I53" s="2"/>
      <c r="J53" s="2"/>
      <c r="K53" s="2"/>
      <c r="L53" s="2"/>
    </row>
    <row x14ac:dyDescent="0.25" r="54" customHeight="1" ht="14.699999999999998">
      <c r="A54" s="196"/>
      <c r="B54" s="218" t="s">
        <v>144</v>
      </c>
      <c r="C54" s="200"/>
      <c r="D54" s="2"/>
      <c r="E54" s="196"/>
      <c r="F54" s="2"/>
      <c r="G54" s="2"/>
      <c r="H54" s="2"/>
      <c r="I54" s="2"/>
      <c r="J54" s="2"/>
      <c r="K54" s="2"/>
      <c r="L54" s="2"/>
    </row>
    <row x14ac:dyDescent="0.25" r="55" customHeight="1" ht="14.699999999999998">
      <c r="A55" s="196"/>
      <c r="B55" s="204" t="s">
        <v>145</v>
      </c>
      <c r="C55" s="205" t="s">
        <v>146</v>
      </c>
      <c r="D55" s="2"/>
      <c r="E55" s="196"/>
      <c r="F55" s="2"/>
      <c r="G55" s="2"/>
      <c r="H55" s="2"/>
      <c r="I55" s="2"/>
      <c r="J55" s="2"/>
      <c r="K55" s="2"/>
      <c r="L55" s="2"/>
    </row>
    <row x14ac:dyDescent="0.25" r="56" customHeight="1" ht="14.699999999999998">
      <c r="A56" s="196"/>
      <c r="B56" s="2" t="s">
        <v>147</v>
      </c>
      <c r="C56" s="219">
        <v>281</v>
      </c>
      <c r="D56" s="2"/>
      <c r="E56" s="211">
        <v>1</v>
      </c>
      <c r="F56" s="2" t="s">
        <v>148</v>
      </c>
      <c r="G56" s="2"/>
      <c r="H56" s="2"/>
      <c r="I56" s="2"/>
      <c r="J56" s="2"/>
      <c r="K56" s="2"/>
      <c r="L56" s="2"/>
    </row>
    <row x14ac:dyDescent="0.25" r="57" customHeight="1" ht="14.699999999999998">
      <c r="A57" s="196"/>
      <c r="B57" s="2" t="s">
        <v>149</v>
      </c>
      <c r="C57" s="219">
        <v>0</v>
      </c>
      <c r="D57" s="2"/>
      <c r="E57" s="211">
        <v>2</v>
      </c>
      <c r="F57" s="208" t="s">
        <v>150</v>
      </c>
      <c r="G57" s="2"/>
      <c r="H57" s="2"/>
      <c r="I57" s="2"/>
      <c r="J57" s="2"/>
      <c r="K57" s="2"/>
      <c r="L57" s="2"/>
    </row>
    <row x14ac:dyDescent="0.25" r="58" customHeight="1" ht="14.699999999999998">
      <c r="A58" s="196"/>
      <c r="B58" s="208" t="s">
        <v>151</v>
      </c>
      <c r="C58" s="219">
        <f>D58*1.2</f>
      </c>
      <c r="D58" s="220"/>
      <c r="E58" s="211"/>
      <c r="F58" s="208"/>
      <c r="G58" s="2"/>
      <c r="H58" s="2"/>
      <c r="I58" s="2"/>
      <c r="J58" s="2"/>
      <c r="K58" s="2"/>
      <c r="L58" s="2"/>
    </row>
    <row x14ac:dyDescent="0.25" r="59" customHeight="1" ht="14.699999999999998">
      <c r="A59" s="196"/>
      <c r="B59" s="218"/>
      <c r="C59" s="200"/>
      <c r="D59" s="2"/>
      <c r="E59" s="196"/>
      <c r="F59" s="2"/>
      <c r="G59" s="2"/>
      <c r="H59" s="2"/>
      <c r="I59" s="2"/>
      <c r="J59" s="2"/>
      <c r="K59" s="2"/>
      <c r="L59" s="2"/>
    </row>
    <row x14ac:dyDescent="0.25" r="60" customHeight="1" ht="14.699999999999998">
      <c r="A60" s="196"/>
      <c r="B60" s="204" t="s">
        <v>55</v>
      </c>
      <c r="C60" s="206"/>
      <c r="D60" s="2"/>
      <c r="E60" s="196"/>
      <c r="F60" s="2"/>
      <c r="G60" s="2"/>
      <c r="H60" s="2"/>
      <c r="I60" s="2"/>
      <c r="J60" s="2"/>
      <c r="K60" s="2"/>
      <c r="L60" s="2"/>
    </row>
    <row x14ac:dyDescent="0.25" r="61" customHeight="1" ht="14.699999999999998">
      <c r="A61" s="196"/>
      <c r="B61" s="2" t="s">
        <v>152</v>
      </c>
      <c r="C61" s="219">
        <v>267</v>
      </c>
      <c r="D61" s="2"/>
      <c r="E61" s="207" t="s">
        <v>153</v>
      </c>
      <c r="F61" s="2" t="s">
        <v>148</v>
      </c>
      <c r="G61" s="2"/>
      <c r="H61" s="2"/>
      <c r="I61" s="2"/>
      <c r="J61" s="2"/>
      <c r="K61" s="2"/>
      <c r="L61" s="2"/>
    </row>
    <row x14ac:dyDescent="0.25" r="62" customHeight="1" ht="14.699999999999998">
      <c r="A62" s="196"/>
      <c r="B62" s="208" t="s">
        <v>154</v>
      </c>
      <c r="C62" s="219">
        <v>0</v>
      </c>
      <c r="D62" s="2"/>
      <c r="E62" s="211">
        <v>2</v>
      </c>
      <c r="F62" s="208" t="s">
        <v>150</v>
      </c>
      <c r="G62" s="2"/>
      <c r="H62" s="2"/>
      <c r="I62" s="2"/>
      <c r="J62" s="2"/>
      <c r="K62" s="2"/>
      <c r="L62" s="2"/>
    </row>
    <row x14ac:dyDescent="0.25" r="63" customHeight="1" ht="14.699999999999998">
      <c r="A63" s="196"/>
      <c r="B63" s="208" t="s">
        <v>151</v>
      </c>
      <c r="C63" s="219">
        <f>D63*1.2</f>
      </c>
      <c r="D63" s="220"/>
      <c r="E63" s="211"/>
      <c r="F63" s="208"/>
      <c r="G63" s="2"/>
      <c r="H63" s="2"/>
      <c r="I63" s="2"/>
      <c r="J63" s="2"/>
      <c r="K63" s="2"/>
      <c r="L63" s="2"/>
    </row>
    <row x14ac:dyDescent="0.25" r="64" customHeight="1" ht="14.699999999999998">
      <c r="A64" s="196"/>
      <c r="B64" s="2" t="s">
        <v>155</v>
      </c>
      <c r="C64" s="219">
        <v>400</v>
      </c>
      <c r="D64" s="2"/>
      <c r="E64" s="207">
        <v>5</v>
      </c>
      <c r="F64" s="2" t="s">
        <v>156</v>
      </c>
      <c r="G64" s="2"/>
      <c r="H64" s="2"/>
      <c r="I64" s="2"/>
      <c r="J64" s="2"/>
      <c r="K64" s="2"/>
      <c r="L64" s="2"/>
    </row>
    <row x14ac:dyDescent="0.25" r="65" customHeight="1" ht="14.699999999999998">
      <c r="A65" s="196"/>
      <c r="B65" s="2"/>
      <c r="C65" s="219"/>
      <c r="D65" s="2"/>
      <c r="E65" s="196"/>
      <c r="F65" s="2"/>
      <c r="G65" s="2"/>
      <c r="H65" s="2"/>
      <c r="I65" s="2"/>
      <c r="J65" s="2"/>
      <c r="K65" s="2"/>
      <c r="L65" s="2"/>
    </row>
    <row x14ac:dyDescent="0.25" r="66" customHeight="1" ht="14.699999999999998">
      <c r="A66" s="196"/>
      <c r="B66" s="204" t="s">
        <v>56</v>
      </c>
      <c r="C66" s="219"/>
      <c r="D66" s="2"/>
      <c r="E66" s="196"/>
      <c r="F66" s="2"/>
      <c r="G66" s="2"/>
      <c r="H66" s="2"/>
      <c r="I66" s="2"/>
      <c r="J66" s="2"/>
      <c r="K66" s="2"/>
      <c r="L66" s="2"/>
    </row>
    <row x14ac:dyDescent="0.25" r="67" customHeight="1" ht="14.699999999999998">
      <c r="A67" s="196"/>
      <c r="B67" s="2" t="s">
        <v>157</v>
      </c>
      <c r="C67" s="219">
        <f>72*1.2</f>
      </c>
      <c r="D67" s="2"/>
      <c r="E67" s="207">
        <v>63</v>
      </c>
      <c r="F67" s="2" t="s">
        <v>158</v>
      </c>
      <c r="G67" s="2"/>
      <c r="H67" s="2"/>
      <c r="I67" s="2"/>
      <c r="J67" s="2"/>
      <c r="K67" s="2"/>
      <c r="L67" s="2"/>
    </row>
    <row x14ac:dyDescent="0.25" r="68" customHeight="1" ht="14.699999999999998">
      <c r="A68" s="196"/>
      <c r="B68" s="2" t="s">
        <v>159</v>
      </c>
      <c r="C68" s="219">
        <v>0</v>
      </c>
      <c r="D68" s="2"/>
      <c r="E68" s="207" t="s">
        <v>160</v>
      </c>
      <c r="F68" s="2" t="s">
        <v>161</v>
      </c>
      <c r="G68" s="2"/>
      <c r="H68" s="2"/>
      <c r="I68" s="2"/>
      <c r="J68" s="2"/>
      <c r="K68" s="2"/>
      <c r="L68" s="2"/>
    </row>
    <row x14ac:dyDescent="0.25" r="69" customHeight="1" ht="14.699999999999998">
      <c r="A69" s="196"/>
      <c r="B69" s="208" t="s">
        <v>151</v>
      </c>
      <c r="C69" s="219">
        <f>D69*1.2</f>
      </c>
      <c r="D69" s="220"/>
      <c r="E69" s="211"/>
      <c r="F69" s="2"/>
      <c r="G69" s="2"/>
      <c r="H69" s="2"/>
      <c r="I69" s="2"/>
      <c r="J69" s="2"/>
      <c r="K69" s="2"/>
      <c r="L69" s="2"/>
    </row>
    <row x14ac:dyDescent="0.25" r="70" customHeight="1" ht="14.699999999999998">
      <c r="A70" s="196"/>
      <c r="B70" s="2" t="s">
        <v>162</v>
      </c>
      <c r="C70" s="219">
        <f>C56</f>
      </c>
      <c r="D70" s="2"/>
      <c r="E70" s="211" t="s">
        <v>120</v>
      </c>
      <c r="F70" s="2" t="s">
        <v>148</v>
      </c>
      <c r="G70" s="2"/>
      <c r="H70" s="2"/>
      <c r="I70" s="2"/>
      <c r="J70" s="2"/>
      <c r="K70" s="2"/>
      <c r="L70" s="2"/>
    </row>
    <row x14ac:dyDescent="0.25" r="71" customHeight="1" ht="14.699999999999998">
      <c r="A71" s="196"/>
      <c r="B71" s="2"/>
      <c r="C71" s="219"/>
      <c r="D71" s="2"/>
      <c r="E71" s="211"/>
      <c r="F71" s="2"/>
      <c r="G71" s="2"/>
      <c r="H71" s="2"/>
      <c r="I71" s="2"/>
      <c r="J71" s="2"/>
      <c r="K71" s="2"/>
      <c r="L71" s="2"/>
    </row>
    <row x14ac:dyDescent="0.25" r="72" customHeight="1" ht="14.699999999999998">
      <c r="A72" s="196"/>
      <c r="B72" s="204" t="s">
        <v>163</v>
      </c>
      <c r="C72" s="205" t="s">
        <v>164</v>
      </c>
      <c r="D72" s="2"/>
      <c r="E72" s="211"/>
      <c r="F72" s="2"/>
      <c r="G72" s="2"/>
      <c r="H72" s="2"/>
      <c r="I72" s="2"/>
      <c r="J72" s="2"/>
      <c r="K72" s="2"/>
      <c r="L72" s="2"/>
    </row>
    <row x14ac:dyDescent="0.25" r="73" customHeight="1" ht="14.699999999999998">
      <c r="A73" s="196"/>
      <c r="B73" s="2" t="s">
        <v>165</v>
      </c>
      <c r="C73" s="219">
        <v>2</v>
      </c>
      <c r="D73" s="2"/>
      <c r="E73" s="211">
        <v>65</v>
      </c>
      <c r="F73" s="2" t="s">
        <v>166</v>
      </c>
      <c r="G73" s="2"/>
      <c r="H73" s="2"/>
      <c r="I73" s="2"/>
      <c r="J73" s="2"/>
      <c r="K73" s="2"/>
      <c r="L73" s="2"/>
    </row>
    <row x14ac:dyDescent="0.25" r="74" customHeight="1" ht="14.699999999999998">
      <c r="A74" s="196"/>
      <c r="B74" s="2" t="s">
        <v>167</v>
      </c>
      <c r="C74" s="219">
        <v>1</v>
      </c>
      <c r="D74" s="2"/>
      <c r="E74" s="211">
        <v>66</v>
      </c>
      <c r="F74" s="2" t="s">
        <v>166</v>
      </c>
      <c r="G74" s="2"/>
      <c r="H74" s="2"/>
      <c r="I74" s="2"/>
      <c r="J74" s="2"/>
      <c r="K74" s="2"/>
      <c r="L74" s="2"/>
    </row>
    <row x14ac:dyDescent="0.25" r="75" customHeight="1" ht="14.699999999999998">
      <c r="A75" s="196"/>
      <c r="B75" s="2"/>
      <c r="C75" s="205" t="s">
        <v>168</v>
      </c>
      <c r="D75" s="2"/>
      <c r="E75" s="211"/>
      <c r="F75" s="2"/>
      <c r="G75" s="2"/>
      <c r="H75" s="2"/>
      <c r="I75" s="2"/>
      <c r="J75" s="2"/>
      <c r="K75" s="2"/>
      <c r="L75" s="2"/>
    </row>
    <row x14ac:dyDescent="0.25" r="76" customHeight="1" ht="14.699999999999998">
      <c r="A76" s="196"/>
      <c r="B76" s="2" t="s">
        <v>169</v>
      </c>
      <c r="C76" s="221">
        <v>0.00035</v>
      </c>
      <c r="D76" s="2"/>
      <c r="E76" s="211">
        <v>66</v>
      </c>
      <c r="F76" s="2" t="s">
        <v>170</v>
      </c>
      <c r="G76" s="2"/>
      <c r="H76" s="2"/>
      <c r="I76" s="2"/>
      <c r="J76" s="2"/>
      <c r="K76" s="2"/>
      <c r="L76" s="2"/>
    </row>
    <row x14ac:dyDescent="0.25" r="77" customHeight="1" ht="14.699999999999998">
      <c r="A77" s="196"/>
      <c r="B77" s="204"/>
      <c r="C77" s="219"/>
      <c r="D77" s="2"/>
      <c r="E77" s="211"/>
      <c r="F77" s="2"/>
      <c r="G77" s="2"/>
      <c r="H77" s="2"/>
      <c r="I77" s="2"/>
      <c r="J77" s="2"/>
      <c r="K77" s="2"/>
      <c r="L77" s="2"/>
    </row>
    <row x14ac:dyDescent="0.25" r="78" customHeight="1" ht="14.699999999999998">
      <c r="A78" s="196"/>
      <c r="B78" s="204" t="s">
        <v>171</v>
      </c>
      <c r="C78" s="205" t="s">
        <v>172</v>
      </c>
      <c r="D78" s="2"/>
      <c r="E78" s="211"/>
      <c r="F78" s="2"/>
      <c r="G78" s="2"/>
      <c r="H78" s="2"/>
      <c r="I78" s="2"/>
      <c r="J78" s="2"/>
      <c r="K78" s="2"/>
      <c r="L78" s="2"/>
    </row>
    <row x14ac:dyDescent="0.25" r="79" customHeight="1" ht="14.699999999999998">
      <c r="A79" s="196"/>
      <c r="B79" s="2" t="s">
        <v>173</v>
      </c>
      <c r="C79" s="206">
        <v>0.258</v>
      </c>
      <c r="D79" s="2"/>
      <c r="E79" s="211">
        <v>54</v>
      </c>
      <c r="F79" s="2" t="s">
        <v>174</v>
      </c>
      <c r="G79" s="2"/>
      <c r="H79" s="2"/>
      <c r="I79" s="2"/>
      <c r="J79" s="2"/>
      <c r="K79" s="2"/>
      <c r="L79" s="2"/>
    </row>
    <row x14ac:dyDescent="0.25" r="80" customHeight="1" ht="14.699999999999998">
      <c r="A80" s="196"/>
      <c r="B80" s="2" t="s">
        <v>175</v>
      </c>
      <c r="C80" s="206">
        <v>0.179</v>
      </c>
      <c r="D80" s="2"/>
      <c r="E80" s="207">
        <v>54</v>
      </c>
      <c r="F80" s="2" t="s">
        <v>174</v>
      </c>
      <c r="G80" s="2"/>
      <c r="H80" s="2"/>
      <c r="I80" s="2"/>
      <c r="J80" s="2"/>
      <c r="K80" s="2"/>
      <c r="L80" s="2"/>
    </row>
    <row x14ac:dyDescent="0.25" r="81" customHeight="1" ht="14.699999999999998">
      <c r="A81" s="196"/>
      <c r="B81" s="2"/>
      <c r="C81" s="205" t="s">
        <v>176</v>
      </c>
      <c r="D81" s="2"/>
      <c r="E81" s="196"/>
      <c r="F81" s="2"/>
      <c r="G81" s="2"/>
      <c r="H81" s="2"/>
      <c r="I81" s="2"/>
      <c r="J81" s="2"/>
      <c r="K81" s="2"/>
      <c r="L81" s="2"/>
    </row>
    <row x14ac:dyDescent="0.25" r="82" customHeight="1" ht="14.699999999999998">
      <c r="A82" s="196"/>
      <c r="B82" s="2" t="s">
        <v>173</v>
      </c>
      <c r="C82" s="221">
        <f>0.31/1000</f>
      </c>
      <c r="D82" s="2"/>
      <c r="E82" s="207">
        <v>54</v>
      </c>
      <c r="F82" s="2" t="s">
        <v>174</v>
      </c>
      <c r="G82" s="2"/>
      <c r="H82" s="2"/>
      <c r="I82" s="2"/>
      <c r="J82" s="2"/>
      <c r="K82" s="2"/>
      <c r="L82" s="2"/>
    </row>
    <row x14ac:dyDescent="0.25" r="83" customHeight="1" ht="14.699999999999998">
      <c r="A83" s="196"/>
      <c r="B83" s="2" t="s">
        <v>175</v>
      </c>
      <c r="C83" s="221">
        <f>0.61/1000</f>
      </c>
      <c r="D83" s="2"/>
      <c r="E83" s="207">
        <v>54</v>
      </c>
      <c r="F83" s="2" t="s">
        <v>174</v>
      </c>
      <c r="G83" s="2"/>
      <c r="H83" s="2"/>
      <c r="I83" s="2"/>
      <c r="J83" s="2"/>
      <c r="K83" s="2"/>
      <c r="L83" s="2"/>
    </row>
    <row x14ac:dyDescent="0.25" r="84" customHeight="1" ht="14.699999999999998">
      <c r="A84" s="196"/>
      <c r="B84" s="204"/>
      <c r="C84" s="219"/>
      <c r="D84" s="2"/>
      <c r="E84" s="196"/>
      <c r="F84" s="2"/>
      <c r="G84" s="2"/>
      <c r="H84" s="2"/>
      <c r="I84" s="2"/>
      <c r="J84" s="2"/>
      <c r="K84" s="2"/>
      <c r="L84" s="2"/>
    </row>
    <row x14ac:dyDescent="0.25" r="85" customHeight="1" ht="15.6">
      <c r="A85" s="196"/>
      <c r="B85" s="218" t="s">
        <v>177</v>
      </c>
      <c r="C85" s="205" t="s">
        <v>178</v>
      </c>
      <c r="D85" s="2"/>
      <c r="E85" s="196"/>
      <c r="F85" s="2"/>
      <c r="G85" s="2"/>
      <c r="H85" s="2"/>
      <c r="I85" s="2"/>
      <c r="J85" s="2"/>
      <c r="K85" s="2"/>
      <c r="L85" s="2"/>
    </row>
    <row x14ac:dyDescent="0.25" r="86" customHeight="1" ht="15.6">
      <c r="A86" s="196"/>
      <c r="B86" s="2" t="s">
        <v>179</v>
      </c>
      <c r="C86" s="206">
        <v>0.41</v>
      </c>
      <c r="D86" s="2"/>
      <c r="E86" s="207">
        <v>13</v>
      </c>
      <c r="F86" s="2" t="s">
        <v>111</v>
      </c>
      <c r="G86" s="2"/>
      <c r="H86" s="2"/>
      <c r="I86" s="2"/>
      <c r="J86" s="2"/>
      <c r="K86" s="2"/>
      <c r="L86" s="2"/>
    </row>
    <row x14ac:dyDescent="0.25" r="87" customHeight="1" ht="15.6">
      <c r="A87" s="196"/>
      <c r="B87" s="2" t="s">
        <v>68</v>
      </c>
      <c r="C87" s="206">
        <v>0.411</v>
      </c>
      <c r="D87" s="2"/>
      <c r="E87" s="207">
        <v>13</v>
      </c>
      <c r="F87" s="2" t="s">
        <v>111</v>
      </c>
      <c r="G87" s="2"/>
      <c r="H87" s="2"/>
      <c r="I87" s="2"/>
      <c r="J87" s="2"/>
      <c r="K87" s="2"/>
      <c r="L87" s="2"/>
    </row>
    <row x14ac:dyDescent="0.25" r="88" customHeight="1" ht="15.6">
      <c r="A88" s="196"/>
      <c r="B88" s="2" t="s">
        <v>33</v>
      </c>
      <c r="C88" s="206">
        <v>0.069</v>
      </c>
      <c r="D88" s="2"/>
      <c r="E88" s="207">
        <v>13</v>
      </c>
      <c r="F88" s="2" t="s">
        <v>111</v>
      </c>
      <c r="G88" s="2"/>
      <c r="H88" s="2"/>
      <c r="I88" s="2"/>
      <c r="J88" s="2"/>
      <c r="K88" s="2"/>
      <c r="L88" s="2"/>
    </row>
    <row x14ac:dyDescent="0.25" r="89" customHeight="1" ht="15.6">
      <c r="A89" s="196"/>
      <c r="B89" s="2" t="s">
        <v>69</v>
      </c>
      <c r="C89" s="206">
        <v>0.06</v>
      </c>
      <c r="D89" s="2"/>
      <c r="E89" s="207">
        <v>13</v>
      </c>
      <c r="F89" s="2" t="s">
        <v>111</v>
      </c>
      <c r="G89" s="2"/>
      <c r="H89" s="2"/>
      <c r="I89" s="2"/>
      <c r="J89" s="2"/>
      <c r="K89" s="2"/>
      <c r="L89" s="2"/>
    </row>
    <row x14ac:dyDescent="0.25" r="90" customHeight="1" ht="15.6">
      <c r="A90" s="196"/>
      <c r="B90" s="2" t="s">
        <v>70</v>
      </c>
      <c r="C90" s="206">
        <v>0.57</v>
      </c>
      <c r="D90" s="2"/>
      <c r="E90" s="207">
        <v>13</v>
      </c>
      <c r="F90" s="2" t="s">
        <v>111</v>
      </c>
      <c r="G90" s="2"/>
      <c r="H90" s="2"/>
      <c r="I90" s="2"/>
      <c r="J90" s="2"/>
      <c r="K90" s="2"/>
      <c r="L90" s="2"/>
    </row>
    <row x14ac:dyDescent="0.25" r="91" customHeight="1" ht="15.6">
      <c r="A91" s="196"/>
      <c r="B91" s="2" t="s">
        <v>71</v>
      </c>
      <c r="C91" s="206">
        <v>0.13</v>
      </c>
      <c r="D91" s="2"/>
      <c r="E91" s="207">
        <v>13</v>
      </c>
      <c r="F91" s="2" t="s">
        <v>111</v>
      </c>
      <c r="G91" s="2"/>
      <c r="H91" s="2"/>
      <c r="I91" s="2"/>
      <c r="J91" s="2"/>
      <c r="K91" s="2"/>
      <c r="L91" s="2"/>
    </row>
    <row x14ac:dyDescent="0.25" r="92" customHeight="1" ht="15.6">
      <c r="A92" s="196"/>
      <c r="B92" s="2" t="s">
        <v>72</v>
      </c>
      <c r="C92" s="206">
        <v>0.07</v>
      </c>
      <c r="D92" s="2"/>
      <c r="E92" s="207">
        <v>13</v>
      </c>
      <c r="F92" s="2" t="s">
        <v>111</v>
      </c>
      <c r="G92" s="2"/>
      <c r="H92" s="2"/>
      <c r="I92" s="2"/>
      <c r="J92" s="2"/>
      <c r="K92" s="2"/>
      <c r="L92" s="2"/>
    </row>
    <row x14ac:dyDescent="0.25" r="93" customHeight="1" ht="15.6">
      <c r="A93" s="196"/>
      <c r="B93" s="2" t="s">
        <v>73</v>
      </c>
      <c r="C93" s="206">
        <v>1.05</v>
      </c>
      <c r="D93" s="2"/>
      <c r="E93" s="207">
        <v>13</v>
      </c>
      <c r="F93" s="2" t="s">
        <v>111</v>
      </c>
      <c r="G93" s="2"/>
      <c r="H93" s="2"/>
      <c r="I93" s="2"/>
      <c r="J93" s="2"/>
      <c r="K93" s="2"/>
      <c r="L93" s="2"/>
    </row>
    <row x14ac:dyDescent="0.25" r="94" customHeight="1" ht="15.6">
      <c r="A94" s="196"/>
      <c r="B94" s="2" t="s">
        <v>180</v>
      </c>
      <c r="C94" s="206">
        <v>0.72</v>
      </c>
      <c r="D94" s="2"/>
      <c r="E94" s="207">
        <v>13</v>
      </c>
      <c r="F94" s="2" t="s">
        <v>111</v>
      </c>
      <c r="G94" s="2"/>
      <c r="H94" s="2"/>
      <c r="I94" s="2"/>
      <c r="J94" s="2"/>
      <c r="K94" s="2"/>
      <c r="L94" s="2"/>
    </row>
    <row x14ac:dyDescent="0.25" r="95" customHeight="1" ht="15.6">
      <c r="A95" s="196"/>
      <c r="B95" s="2" t="s">
        <v>75</v>
      </c>
      <c r="C95" s="206">
        <v>1.41</v>
      </c>
      <c r="D95" s="2"/>
      <c r="E95" s="207">
        <v>13</v>
      </c>
      <c r="F95" s="2" t="s">
        <v>111</v>
      </c>
      <c r="G95" s="2"/>
      <c r="H95" s="2"/>
      <c r="I95" s="2"/>
      <c r="J95" s="2"/>
      <c r="K95" s="2"/>
      <c r="L95" s="2"/>
    </row>
    <row x14ac:dyDescent="0.25" r="96" customHeight="1" ht="15.6">
      <c r="A96" s="196"/>
      <c r="B96" s="2"/>
      <c r="C96" s="200"/>
      <c r="D96" s="2"/>
      <c r="E96" s="196"/>
      <c r="F96" s="2"/>
      <c r="G96" s="2"/>
      <c r="H96" s="2"/>
      <c r="I96" s="2"/>
      <c r="J96" s="2"/>
      <c r="K96" s="2"/>
      <c r="L96" s="2"/>
    </row>
    <row x14ac:dyDescent="0.25" r="97" customHeight="1" ht="15.6">
      <c r="A97" s="196"/>
      <c r="B97" s="2"/>
      <c r="C97" s="200"/>
      <c r="D97" s="2"/>
      <c r="E97" s="196"/>
      <c r="F97" s="2"/>
      <c r="G97" s="2"/>
      <c r="H97" s="2"/>
      <c r="I97" s="2"/>
      <c r="J97" s="2"/>
      <c r="K97" s="2"/>
      <c r="L97" s="2"/>
    </row>
    <row x14ac:dyDescent="0.25" r="98" customHeight="1" ht="19.5">
      <c r="A98" s="196"/>
      <c r="B98" s="218" t="s">
        <v>181</v>
      </c>
      <c r="C98" s="200"/>
      <c r="D98" s="2"/>
      <c r="E98" s="196"/>
      <c r="F98" s="2"/>
      <c r="G98" s="2"/>
      <c r="H98" s="2"/>
      <c r="I98" s="2"/>
      <c r="J98" s="2"/>
      <c r="K98" s="2"/>
      <c r="L98" s="2"/>
    </row>
    <row x14ac:dyDescent="0.25" r="99" customHeight="1" ht="19.5">
      <c r="A99" s="196"/>
      <c r="B99" s="2"/>
      <c r="C99" s="205" t="s">
        <v>182</v>
      </c>
      <c r="D99" s="2"/>
      <c r="E99" s="196"/>
      <c r="F99" s="2"/>
      <c r="G99" s="2"/>
      <c r="H99" s="2"/>
      <c r="I99" s="2"/>
      <c r="J99" s="2"/>
      <c r="K99" s="2"/>
      <c r="L99" s="2"/>
    </row>
    <row x14ac:dyDescent="0.25" r="100" customHeight="1" ht="19.5">
      <c r="A100" s="196"/>
      <c r="B100" s="2" t="s">
        <v>183</v>
      </c>
      <c r="C100" s="219">
        <v>60</v>
      </c>
      <c r="D100" s="2"/>
      <c r="E100" s="207">
        <v>13</v>
      </c>
      <c r="F100" s="2" t="s">
        <v>111</v>
      </c>
      <c r="G100" s="2"/>
      <c r="H100" s="2"/>
      <c r="I100" s="2"/>
      <c r="J100" s="2"/>
      <c r="K100" s="2"/>
      <c r="L100" s="2"/>
    </row>
    <row x14ac:dyDescent="0.25" r="101" customHeight="1" ht="19.5">
      <c r="A101" s="196"/>
      <c r="B101" s="2" t="s">
        <v>184</v>
      </c>
      <c r="C101" s="219">
        <v>350</v>
      </c>
      <c r="D101" s="2"/>
      <c r="E101" s="207">
        <v>13</v>
      </c>
      <c r="F101" s="2" t="s">
        <v>111</v>
      </c>
      <c r="G101" s="2"/>
      <c r="H101" s="2"/>
      <c r="I101" s="2"/>
      <c r="J101" s="2"/>
      <c r="K101" s="2"/>
      <c r="L101" s="2"/>
    </row>
    <row x14ac:dyDescent="0.25" r="102" customHeight="1" ht="19.5">
      <c r="A102" s="196"/>
      <c r="B102" s="2" t="s">
        <v>185</v>
      </c>
      <c r="C102" s="219">
        <v>510</v>
      </c>
      <c r="D102" s="2"/>
      <c r="E102" s="207">
        <v>13</v>
      </c>
      <c r="F102" s="2" t="s">
        <v>111</v>
      </c>
      <c r="G102" s="2"/>
      <c r="H102" s="2"/>
      <c r="I102" s="2"/>
      <c r="J102" s="2"/>
      <c r="K102" s="2"/>
      <c r="L102" s="2"/>
    </row>
    <row x14ac:dyDescent="0.25" r="103" customHeight="1" ht="19.5">
      <c r="A103" s="196"/>
      <c r="B103" s="2" t="s">
        <v>186</v>
      </c>
      <c r="C103" s="219">
        <v>100</v>
      </c>
      <c r="D103" s="2"/>
      <c r="E103" s="207">
        <v>13</v>
      </c>
      <c r="F103" s="2" t="s">
        <v>111</v>
      </c>
      <c r="G103" s="2"/>
      <c r="H103" s="2"/>
      <c r="I103" s="2"/>
      <c r="J103" s="2"/>
      <c r="K103" s="2"/>
      <c r="L103" s="2"/>
    </row>
    <row x14ac:dyDescent="0.25" r="104" customHeight="1" ht="19.5">
      <c r="A104" s="196"/>
      <c r="B104" s="2" t="s">
        <v>187</v>
      </c>
      <c r="C104" s="219">
        <v>199.8</v>
      </c>
      <c r="D104" s="2"/>
      <c r="E104" s="207">
        <v>46</v>
      </c>
      <c r="F104" s="2" t="s">
        <v>188</v>
      </c>
      <c r="G104" s="2"/>
      <c r="H104" s="2"/>
      <c r="I104" s="2"/>
      <c r="J104" s="2"/>
      <c r="K104" s="2"/>
      <c r="L104" s="2"/>
    </row>
    <row x14ac:dyDescent="0.25" r="105" customHeight="1" ht="19.5">
      <c r="A105" s="196"/>
      <c r="B105" s="208" t="s">
        <v>189</v>
      </c>
      <c r="C105" s="219">
        <v>410</v>
      </c>
      <c r="D105" s="2"/>
      <c r="E105" s="207">
        <v>46</v>
      </c>
      <c r="F105" s="2" t="s">
        <v>188</v>
      </c>
      <c r="G105" s="2"/>
      <c r="H105" s="2"/>
      <c r="I105" s="2"/>
      <c r="J105" s="2"/>
      <c r="K105" s="2"/>
      <c r="L105" s="2"/>
    </row>
    <row x14ac:dyDescent="0.25" r="106" customHeight="1" ht="19.5">
      <c r="A106" s="196"/>
      <c r="B106" s="208" t="s">
        <v>190</v>
      </c>
      <c r="C106" s="219">
        <v>77.8</v>
      </c>
      <c r="D106" s="2"/>
      <c r="E106" s="207">
        <v>46</v>
      </c>
      <c r="F106" s="2" t="s">
        <v>188</v>
      </c>
      <c r="G106" s="2"/>
      <c r="H106" s="2"/>
      <c r="I106" s="2"/>
      <c r="J106" s="2"/>
      <c r="K106" s="2"/>
      <c r="L106" s="2"/>
    </row>
    <row x14ac:dyDescent="0.25" r="107" customHeight="1" ht="19.5">
      <c r="A107" s="196"/>
      <c r="B107" s="208"/>
      <c r="C107" s="219"/>
      <c r="D107" s="2"/>
      <c r="E107" s="196"/>
      <c r="F107" s="2"/>
      <c r="G107" s="2"/>
      <c r="H107" s="2"/>
      <c r="I107" s="2"/>
      <c r="J107" s="2"/>
      <c r="K107" s="2"/>
      <c r="L107" s="2"/>
    </row>
    <row x14ac:dyDescent="0.25" r="108" customHeight="1" ht="19.5">
      <c r="A108" s="196"/>
      <c r="B108" s="208" t="s">
        <v>191</v>
      </c>
      <c r="C108" s="219">
        <v>34</v>
      </c>
      <c r="D108" s="2"/>
      <c r="E108" s="207">
        <v>46</v>
      </c>
      <c r="F108" s="2" t="s">
        <v>188</v>
      </c>
      <c r="G108" s="2"/>
      <c r="H108" s="2"/>
      <c r="I108" s="2"/>
      <c r="J108" s="2"/>
      <c r="K108" s="2"/>
      <c r="L108" s="2"/>
    </row>
    <row x14ac:dyDescent="0.25" r="109" customHeight="1" ht="19.5">
      <c r="A109" s="196"/>
      <c r="B109" s="208" t="s">
        <v>192</v>
      </c>
      <c r="C109" s="219">
        <v>9</v>
      </c>
      <c r="D109" s="2"/>
      <c r="E109" s="207">
        <v>46</v>
      </c>
      <c r="F109" s="2" t="s">
        <v>188</v>
      </c>
      <c r="G109" s="2"/>
      <c r="H109" s="2"/>
      <c r="I109" s="2"/>
      <c r="J109" s="2"/>
      <c r="K109" s="2"/>
      <c r="L109" s="2"/>
    </row>
    <row x14ac:dyDescent="0.25" r="110" customHeight="1" ht="19.5">
      <c r="A110" s="196"/>
      <c r="B110" s="208" t="s">
        <v>193</v>
      </c>
      <c r="C110" s="219">
        <v>218</v>
      </c>
      <c r="D110" s="2"/>
      <c r="E110" s="207">
        <v>46</v>
      </c>
      <c r="F110" s="2" t="s">
        <v>188</v>
      </c>
      <c r="G110" s="2"/>
      <c r="H110" s="2"/>
      <c r="I110" s="2"/>
      <c r="J110" s="2"/>
      <c r="K110" s="2"/>
      <c r="L110" s="2"/>
    </row>
    <row x14ac:dyDescent="0.25" r="111" customHeight="1" ht="19.5">
      <c r="A111" s="196"/>
      <c r="B111" s="208" t="s">
        <v>194</v>
      </c>
      <c r="C111" s="219">
        <v>254</v>
      </c>
      <c r="D111" s="2"/>
      <c r="E111" s="207">
        <v>46</v>
      </c>
      <c r="F111" s="2" t="s">
        <v>188</v>
      </c>
      <c r="G111" s="2"/>
      <c r="H111" s="2"/>
      <c r="I111" s="2"/>
      <c r="J111" s="2"/>
      <c r="K111" s="2"/>
      <c r="L111" s="2"/>
    </row>
    <row x14ac:dyDescent="0.25" r="112" customHeight="1" ht="19.5">
      <c r="A112" s="196"/>
      <c r="B112" s="216" t="s">
        <v>195</v>
      </c>
      <c r="C112" s="219">
        <v>0.905</v>
      </c>
      <c r="D112" s="2"/>
      <c r="E112" s="207">
        <v>13</v>
      </c>
      <c r="F112" s="2" t="s">
        <v>111</v>
      </c>
      <c r="G112" s="2"/>
      <c r="H112" s="2"/>
      <c r="I112" s="2"/>
      <c r="J112" s="2"/>
      <c r="K112" s="2"/>
      <c r="L112" s="2"/>
    </row>
    <row x14ac:dyDescent="0.25" r="113" customHeight="1" ht="19.5">
      <c r="A113" s="196"/>
      <c r="B113" s="2"/>
      <c r="C113" s="205" t="s">
        <v>196</v>
      </c>
      <c r="D113" s="2"/>
      <c r="E113" s="196"/>
      <c r="F113" s="2"/>
      <c r="G113" s="2"/>
      <c r="H113" s="2"/>
      <c r="I113" s="2"/>
      <c r="J113" s="2"/>
      <c r="K113" s="2"/>
      <c r="L113" s="2"/>
    </row>
    <row x14ac:dyDescent="0.25" r="114" customHeight="1" ht="19.5">
      <c r="A114" s="196"/>
      <c r="B114" s="2"/>
      <c r="C114" s="219"/>
      <c r="D114" s="2"/>
      <c r="E114" s="196"/>
      <c r="F114" s="2"/>
      <c r="G114" s="2"/>
      <c r="H114" s="2"/>
      <c r="I114" s="2"/>
      <c r="J114" s="2"/>
      <c r="K114" s="2"/>
      <c r="L114" s="2"/>
    </row>
    <row x14ac:dyDescent="0.25" r="115" customHeight="1" ht="19.5">
      <c r="A115" s="196"/>
      <c r="B115" s="2" t="s">
        <v>197</v>
      </c>
      <c r="C115" s="206">
        <v>0.08</v>
      </c>
      <c r="D115" s="2"/>
      <c r="E115" s="207">
        <v>61</v>
      </c>
      <c r="F115" s="2" t="s">
        <v>198</v>
      </c>
      <c r="G115" s="2"/>
      <c r="H115" s="2"/>
      <c r="I115" s="2"/>
      <c r="J115" s="2"/>
      <c r="K115" s="2"/>
      <c r="L115" s="2"/>
    </row>
    <row x14ac:dyDescent="0.25" r="116" customHeight="1" ht="19.5">
      <c r="A116" s="196"/>
      <c r="B116" s="2" t="s">
        <v>199</v>
      </c>
      <c r="C116" s="206">
        <v>1.2</v>
      </c>
      <c r="D116" s="2"/>
      <c r="E116" s="207">
        <v>60</v>
      </c>
      <c r="F116" s="2" t="s">
        <v>200</v>
      </c>
      <c r="G116" s="2"/>
      <c r="H116" s="2"/>
      <c r="I116" s="2"/>
      <c r="J116" s="2"/>
      <c r="K116" s="2"/>
      <c r="L116" s="2"/>
    </row>
    <row x14ac:dyDescent="0.25" r="117" customHeight="1" ht="19.5">
      <c r="A117" s="196"/>
      <c r="B117" s="2"/>
      <c r="C117" s="200"/>
      <c r="D117" s="2"/>
      <c r="E117" s="196"/>
      <c r="F117" s="2"/>
      <c r="G117" s="2"/>
      <c r="H117" s="2"/>
      <c r="I117" s="2"/>
      <c r="J117" s="2"/>
      <c r="K117" s="2"/>
      <c r="L117" s="2"/>
    </row>
    <row x14ac:dyDescent="0.25" r="118" customHeight="1" ht="19.5">
      <c r="A118" s="196"/>
      <c r="B118" s="2"/>
      <c r="C118" s="205" t="s">
        <v>201</v>
      </c>
      <c r="D118" s="2"/>
      <c r="E118" s="196"/>
      <c r="F118" s="2"/>
      <c r="G118" s="2"/>
      <c r="H118" s="2"/>
      <c r="I118" s="2"/>
      <c r="J118" s="2"/>
      <c r="K118" s="2"/>
      <c r="L118" s="2"/>
    </row>
    <row x14ac:dyDescent="0.25" r="119" customHeight="1" ht="19.5">
      <c r="A119" s="196"/>
      <c r="B119" s="2" t="s">
        <v>202</v>
      </c>
      <c r="C119" s="206">
        <v>0.1</v>
      </c>
      <c r="D119" s="2"/>
      <c r="E119" s="207">
        <v>1</v>
      </c>
      <c r="F119" s="2" t="s">
        <v>203</v>
      </c>
      <c r="G119" s="2"/>
      <c r="H119" s="2"/>
      <c r="I119" s="2"/>
      <c r="J119" s="2"/>
      <c r="K119" s="2"/>
      <c r="L119" s="2"/>
    </row>
    <row x14ac:dyDescent="0.25" r="120" customHeight="1" ht="19.5">
      <c r="A120" s="196"/>
      <c r="B120" s="2" t="s">
        <v>204</v>
      </c>
      <c r="C120" s="206">
        <v>0.28</v>
      </c>
      <c r="D120" s="2"/>
      <c r="E120" s="207">
        <v>1</v>
      </c>
      <c r="F120" s="2" t="s">
        <v>203</v>
      </c>
      <c r="G120" s="2"/>
      <c r="H120" s="2"/>
      <c r="I120" s="2"/>
      <c r="J120" s="2"/>
      <c r="K120" s="2"/>
      <c r="L120" s="2"/>
    </row>
    <row x14ac:dyDescent="0.25" r="121" customHeight="1" ht="19.5">
      <c r="A121" s="196"/>
      <c r="B121" s="2" t="s">
        <v>205</v>
      </c>
      <c r="C121" s="206">
        <v>0.5</v>
      </c>
      <c r="D121" s="2"/>
      <c r="E121" s="207">
        <v>62</v>
      </c>
      <c r="F121" s="2" t="s">
        <v>206</v>
      </c>
      <c r="G121" s="2"/>
      <c r="H121" s="2"/>
      <c r="I121" s="2"/>
      <c r="J121" s="2"/>
      <c r="K121" s="2"/>
      <c r="L121" s="2"/>
    </row>
    <row x14ac:dyDescent="0.25" r="122" customHeight="1" ht="19.5">
      <c r="A122" s="196"/>
      <c r="B122" s="2"/>
      <c r="C122" s="200"/>
      <c r="D122" s="2"/>
      <c r="E122" s="196"/>
      <c r="F122" s="2"/>
      <c r="G122" s="2"/>
      <c r="H122" s="2"/>
      <c r="I122" s="2"/>
      <c r="J122" s="2"/>
      <c r="K122" s="2"/>
      <c r="L122" s="2"/>
    </row>
    <row x14ac:dyDescent="0.25" r="123" customHeight="1" ht="19.5">
      <c r="A123" s="196"/>
      <c r="B123" s="50" t="s">
        <v>207</v>
      </c>
      <c r="C123" s="205" t="s">
        <v>178</v>
      </c>
      <c r="D123" s="2"/>
      <c r="E123" s="196"/>
      <c r="F123" s="2"/>
      <c r="G123" s="2"/>
      <c r="H123" s="2"/>
      <c r="I123" s="2"/>
      <c r="J123" s="2"/>
      <c r="K123" s="2"/>
      <c r="L123" s="2"/>
    </row>
    <row x14ac:dyDescent="0.25" r="124" customHeight="1" ht="19.5">
      <c r="A124" s="196"/>
      <c r="B124" s="50"/>
      <c r="C124" s="200"/>
      <c r="D124" s="2"/>
      <c r="E124" s="196"/>
      <c r="F124" s="2"/>
      <c r="G124" s="2"/>
      <c r="H124" s="2"/>
      <c r="I124" s="2"/>
      <c r="J124" s="2"/>
      <c r="K124" s="2"/>
      <c r="L124" s="2"/>
    </row>
    <row x14ac:dyDescent="0.25" r="125" customHeight="1" ht="19.5">
      <c r="A125" s="196"/>
      <c r="B125" s="204" t="s">
        <v>208</v>
      </c>
      <c r="C125" s="200"/>
      <c r="D125" s="2"/>
      <c r="E125" s="196"/>
      <c r="F125" s="2"/>
      <c r="G125" s="2"/>
      <c r="H125" s="2"/>
      <c r="I125" s="2"/>
      <c r="J125" s="2"/>
      <c r="K125" s="2"/>
      <c r="L125" s="2"/>
    </row>
    <row x14ac:dyDescent="0.25" r="126" customHeight="1" ht="19.5">
      <c r="A126" s="196"/>
      <c r="B126" s="2" t="s">
        <v>209</v>
      </c>
      <c r="C126" s="206">
        <v>15</v>
      </c>
      <c r="D126" s="2"/>
      <c r="E126" s="207">
        <v>1</v>
      </c>
      <c r="F126" s="2" t="s">
        <v>203</v>
      </c>
      <c r="G126" s="2"/>
      <c r="H126" s="2"/>
      <c r="I126" s="2"/>
      <c r="J126" s="2"/>
      <c r="K126" s="2"/>
      <c r="L126" s="2"/>
    </row>
    <row x14ac:dyDescent="0.25" r="127" customHeight="1" ht="19.5">
      <c r="A127" s="196"/>
      <c r="B127" s="2" t="s">
        <v>210</v>
      </c>
      <c r="C127" s="206">
        <v>1.5</v>
      </c>
      <c r="D127" s="2"/>
      <c r="E127" s="207">
        <v>1</v>
      </c>
      <c r="F127" s="2" t="s">
        <v>203</v>
      </c>
      <c r="G127" s="2"/>
      <c r="H127" s="2"/>
      <c r="I127" s="2"/>
      <c r="J127" s="2"/>
      <c r="K127" s="2"/>
      <c r="L127" s="2"/>
    </row>
    <row x14ac:dyDescent="0.25" r="128" customHeight="1" ht="19.5">
      <c r="A128" s="196"/>
      <c r="B128" s="2" t="s">
        <v>211</v>
      </c>
      <c r="C128" s="206">
        <v>5</v>
      </c>
      <c r="D128" s="2"/>
      <c r="E128" s="207">
        <v>1</v>
      </c>
      <c r="F128" s="2" t="s">
        <v>203</v>
      </c>
      <c r="G128" s="2"/>
      <c r="H128" s="2"/>
      <c r="I128" s="2"/>
      <c r="J128" s="2"/>
      <c r="K128" s="2"/>
      <c r="L128" s="2"/>
    </row>
    <row x14ac:dyDescent="0.25" r="129" customHeight="1" ht="19.5">
      <c r="A129" s="196"/>
      <c r="B129" s="2" t="s">
        <v>212</v>
      </c>
      <c r="C129" s="206">
        <v>5</v>
      </c>
      <c r="D129" s="2"/>
      <c r="E129" s="207">
        <v>1</v>
      </c>
      <c r="F129" s="2" t="s">
        <v>203</v>
      </c>
      <c r="G129" s="2"/>
      <c r="H129" s="2"/>
      <c r="I129" s="2"/>
      <c r="J129" s="2"/>
      <c r="K129" s="2"/>
      <c r="L129" s="2"/>
    </row>
    <row x14ac:dyDescent="0.25" r="130" customHeight="1" ht="19.5">
      <c r="A130" s="196"/>
      <c r="B130" s="2" t="s">
        <v>213</v>
      </c>
      <c r="C130" s="206">
        <v>5.62</v>
      </c>
      <c r="D130" s="2"/>
      <c r="E130" s="207">
        <v>47</v>
      </c>
      <c r="F130" s="2" t="s">
        <v>214</v>
      </c>
      <c r="G130" s="2"/>
      <c r="H130" s="2"/>
      <c r="I130" s="2"/>
      <c r="J130" s="2"/>
      <c r="K130" s="2"/>
      <c r="L130" s="2"/>
    </row>
    <row x14ac:dyDescent="0.25" r="131" customHeight="1" ht="19.5">
      <c r="A131" s="196"/>
      <c r="B131" s="2"/>
      <c r="C131" s="206"/>
      <c r="D131" s="2"/>
      <c r="E131" s="196"/>
      <c r="F131" s="2"/>
      <c r="G131" s="2"/>
      <c r="H131" s="2"/>
      <c r="I131" s="2"/>
      <c r="J131" s="2"/>
      <c r="K131" s="2"/>
      <c r="L131" s="2"/>
    </row>
    <row x14ac:dyDescent="0.25" r="132" customHeight="1" ht="19.5">
      <c r="A132" s="196"/>
      <c r="B132" s="204" t="s">
        <v>215</v>
      </c>
      <c r="C132" s="206"/>
      <c r="D132" s="2"/>
      <c r="E132" s="196"/>
      <c r="F132" s="2"/>
      <c r="G132" s="2"/>
      <c r="H132" s="2"/>
      <c r="I132" s="2"/>
      <c r="J132" s="2"/>
      <c r="K132" s="2"/>
      <c r="L132" s="2"/>
    </row>
    <row x14ac:dyDescent="0.25" r="133" customHeight="1" ht="19.5">
      <c r="A133" s="196"/>
      <c r="B133" s="2" t="s">
        <v>216</v>
      </c>
      <c r="C133" s="206">
        <v>1.2</v>
      </c>
      <c r="D133" s="2"/>
      <c r="E133" s="207">
        <v>48</v>
      </c>
      <c r="F133" s="2" t="s">
        <v>217</v>
      </c>
      <c r="G133" s="2"/>
      <c r="H133" s="2"/>
      <c r="I133" s="2"/>
      <c r="J133" s="2"/>
      <c r="K133" s="2"/>
      <c r="L133" s="2"/>
    </row>
    <row x14ac:dyDescent="0.25" r="134" customHeight="1" ht="19.5">
      <c r="A134" s="196"/>
      <c r="B134" s="2" t="s">
        <v>218</v>
      </c>
      <c r="C134" s="206">
        <v>0.89</v>
      </c>
      <c r="D134" s="2"/>
      <c r="E134" s="207">
        <v>49</v>
      </c>
      <c r="F134" s="2" t="s">
        <v>219</v>
      </c>
      <c r="G134" s="2"/>
      <c r="H134" s="2"/>
      <c r="I134" s="2"/>
      <c r="J134" s="2"/>
      <c r="K134" s="2"/>
      <c r="L134" s="2"/>
    </row>
    <row x14ac:dyDescent="0.25" r="135" customHeight="1" ht="19.5">
      <c r="A135" s="196"/>
      <c r="B135" s="2" t="s">
        <v>220</v>
      </c>
      <c r="C135" s="206">
        <v>2</v>
      </c>
      <c r="D135" s="2"/>
      <c r="E135" s="207">
        <v>47</v>
      </c>
      <c r="F135" s="2" t="s">
        <v>214</v>
      </c>
      <c r="G135" s="2"/>
      <c r="H135" s="2"/>
      <c r="I135" s="2"/>
      <c r="J135" s="2"/>
      <c r="K135" s="2"/>
      <c r="L135" s="2"/>
    </row>
    <row x14ac:dyDescent="0.25" r="136" customHeight="1" ht="19.5">
      <c r="A136" s="196"/>
      <c r="B136" s="2" t="s">
        <v>221</v>
      </c>
      <c r="C136" s="206">
        <v>0.2</v>
      </c>
      <c r="D136" s="2"/>
      <c r="E136" s="207">
        <v>1</v>
      </c>
      <c r="F136" s="2" t="s">
        <v>203</v>
      </c>
      <c r="G136" s="2"/>
      <c r="H136" s="2"/>
      <c r="I136" s="2"/>
      <c r="J136" s="2"/>
      <c r="K136" s="2"/>
      <c r="L136" s="2"/>
    </row>
    <row x14ac:dyDescent="0.25" r="137" customHeight="1" ht="19.5">
      <c r="A137" s="196"/>
      <c r="B137" s="2"/>
      <c r="C137" s="206"/>
      <c r="D137" s="2"/>
      <c r="E137" s="196"/>
      <c r="F137" s="2"/>
      <c r="G137" s="2"/>
      <c r="H137" s="2"/>
      <c r="I137" s="2"/>
      <c r="J137" s="2"/>
      <c r="K137" s="2"/>
      <c r="L137" s="2"/>
    </row>
    <row x14ac:dyDescent="0.25" r="138" customHeight="1" ht="19.5">
      <c r="A138" s="196"/>
      <c r="B138" s="204" t="s">
        <v>21</v>
      </c>
      <c r="C138" s="206"/>
      <c r="D138" s="2"/>
      <c r="E138" s="196"/>
      <c r="F138" s="2"/>
      <c r="G138" s="2"/>
      <c r="H138" s="2"/>
      <c r="I138" s="2"/>
      <c r="J138" s="2"/>
      <c r="K138" s="2"/>
      <c r="L138" s="2"/>
    </row>
    <row x14ac:dyDescent="0.25" r="139" customHeight="1" ht="19.5">
      <c r="A139" s="196"/>
      <c r="B139" s="2" t="s">
        <v>222</v>
      </c>
      <c r="C139" s="206">
        <v>0.23</v>
      </c>
      <c r="D139" s="2"/>
      <c r="E139" s="207">
        <v>45</v>
      </c>
      <c r="F139" s="2" t="s">
        <v>223</v>
      </c>
      <c r="G139" s="2"/>
      <c r="H139" s="2"/>
      <c r="I139" s="2"/>
      <c r="J139" s="2"/>
      <c r="K139" s="2"/>
      <c r="L139" s="2"/>
    </row>
    <row x14ac:dyDescent="0.25" r="140" customHeight="1" ht="19.5">
      <c r="A140" s="196"/>
      <c r="B140" s="2" t="s">
        <v>224</v>
      </c>
      <c r="C140" s="206">
        <v>1.1</v>
      </c>
      <c r="D140" s="2"/>
      <c r="E140" s="207">
        <v>43</v>
      </c>
      <c r="F140" s="2" t="s">
        <v>225</v>
      </c>
      <c r="G140" s="2"/>
      <c r="H140" s="2"/>
      <c r="I140" s="2"/>
      <c r="J140" s="2"/>
      <c r="K140" s="2"/>
      <c r="L140" s="2"/>
    </row>
    <row x14ac:dyDescent="0.25" r="141" customHeight="1" ht="19.5">
      <c r="A141" s="196"/>
      <c r="B141" s="2" t="s">
        <v>226</v>
      </c>
      <c r="C141" s="206">
        <v>0.6</v>
      </c>
      <c r="D141" s="2"/>
      <c r="E141" s="207">
        <v>18</v>
      </c>
      <c r="F141" s="2" t="s">
        <v>227</v>
      </c>
      <c r="G141" s="2"/>
      <c r="H141" s="2"/>
      <c r="I141" s="2"/>
      <c r="J141" s="2"/>
      <c r="K141" s="2"/>
      <c r="L141" s="2"/>
    </row>
    <row x14ac:dyDescent="0.25" r="142" customHeight="1" ht="19.5">
      <c r="A142" s="196"/>
      <c r="B142" s="2" t="s">
        <v>228</v>
      </c>
      <c r="C142" s="206">
        <v>0.3</v>
      </c>
      <c r="D142" s="2"/>
      <c r="E142" s="207">
        <v>18</v>
      </c>
      <c r="F142" s="2" t="s">
        <v>227</v>
      </c>
      <c r="G142" s="2"/>
      <c r="H142" s="2"/>
      <c r="I142" s="2"/>
      <c r="J142" s="2"/>
      <c r="K142" s="2"/>
      <c r="L142" s="2"/>
    </row>
    <row x14ac:dyDescent="0.25" r="143" customHeight="1" ht="19.5">
      <c r="A143" s="196"/>
      <c r="B143" s="2"/>
      <c r="C143" s="206"/>
      <c r="D143" s="2"/>
      <c r="E143" s="196"/>
      <c r="F143" s="2"/>
      <c r="G143" s="2"/>
      <c r="H143" s="2"/>
      <c r="I143" s="2"/>
      <c r="J143" s="2"/>
      <c r="K143" s="2"/>
      <c r="L143" s="2"/>
    </row>
    <row x14ac:dyDescent="0.25" r="144" customHeight="1" ht="19.5">
      <c r="A144" s="196"/>
      <c r="B144" s="204" t="s">
        <v>19</v>
      </c>
      <c r="C144" s="206"/>
      <c r="D144" s="2"/>
      <c r="E144" s="196"/>
      <c r="F144" s="2"/>
      <c r="G144" s="2"/>
      <c r="H144" s="2"/>
      <c r="I144" s="2"/>
      <c r="J144" s="2"/>
      <c r="K144" s="2"/>
      <c r="L144" s="2"/>
    </row>
    <row x14ac:dyDescent="0.25" r="145" customHeight="1" ht="19.5">
      <c r="A145" s="196"/>
      <c r="B145" s="2" t="s">
        <v>229</v>
      </c>
      <c r="C145" s="206">
        <v>0.034</v>
      </c>
      <c r="D145" s="2"/>
      <c r="E145" s="207">
        <v>42</v>
      </c>
      <c r="F145" s="2" t="s">
        <v>230</v>
      </c>
      <c r="G145" s="2"/>
      <c r="H145" s="2"/>
      <c r="I145" s="2"/>
      <c r="J145" s="2"/>
      <c r="K145" s="2"/>
      <c r="L145" s="2"/>
    </row>
    <row x14ac:dyDescent="0.25" r="146" customHeight="1" ht="19.5">
      <c r="A146" s="196"/>
      <c r="B146" s="2" t="s">
        <v>231</v>
      </c>
      <c r="C146" s="206">
        <v>5</v>
      </c>
      <c r="D146" s="2"/>
      <c r="E146" s="207">
        <v>1</v>
      </c>
      <c r="F146" s="2" t="s">
        <v>203</v>
      </c>
      <c r="G146" s="2"/>
      <c r="H146" s="2"/>
      <c r="I146" s="2"/>
      <c r="J146" s="2"/>
      <c r="K146" s="2"/>
      <c r="L146" s="2"/>
    </row>
    <row x14ac:dyDescent="0.25" r="147" customHeight="1" ht="19.5">
      <c r="A147" s="196"/>
      <c r="B147" s="2" t="s">
        <v>232</v>
      </c>
      <c r="C147" s="206">
        <v>0.2</v>
      </c>
      <c r="D147" s="2"/>
      <c r="E147" s="207">
        <v>1</v>
      </c>
      <c r="F147" s="2" t="s">
        <v>203</v>
      </c>
      <c r="G147" s="2"/>
      <c r="H147" s="2"/>
      <c r="I147" s="2"/>
      <c r="J147" s="2"/>
      <c r="K147" s="2"/>
      <c r="L147" s="2"/>
    </row>
    <row x14ac:dyDescent="0.25" r="148" customHeight="1" ht="19.5">
      <c r="A148" s="196"/>
      <c r="B148" s="2" t="s">
        <v>233</v>
      </c>
      <c r="C148" s="206">
        <v>0.3</v>
      </c>
      <c r="D148" s="2"/>
      <c r="E148" s="207">
        <v>50</v>
      </c>
      <c r="F148" s="2" t="s">
        <v>234</v>
      </c>
      <c r="G148" s="2"/>
      <c r="H148" s="2"/>
      <c r="I148" s="2"/>
      <c r="J148" s="2"/>
      <c r="K148" s="2"/>
      <c r="L148" s="2"/>
    </row>
    <row x14ac:dyDescent="0.25" r="149" customHeight="1" ht="19.5">
      <c r="A149" s="196"/>
      <c r="B149" s="2"/>
      <c r="C149" s="206"/>
      <c r="D149" s="2"/>
      <c r="E149" s="196"/>
      <c r="F149" s="2"/>
      <c r="G149" s="2"/>
      <c r="H149" s="2"/>
      <c r="I149" s="2"/>
      <c r="J149" s="2"/>
      <c r="K149" s="2"/>
      <c r="L149" s="2"/>
    </row>
    <row x14ac:dyDescent="0.25" r="150" customHeight="1" ht="19.5">
      <c r="A150" s="196"/>
      <c r="B150" s="204" t="s">
        <v>32</v>
      </c>
      <c r="C150" s="206"/>
      <c r="D150" s="2"/>
      <c r="E150" s="196"/>
      <c r="F150" s="2"/>
      <c r="G150" s="2"/>
      <c r="H150" s="2"/>
      <c r="I150" s="2"/>
      <c r="J150" s="2"/>
      <c r="K150" s="2"/>
      <c r="L150" s="2"/>
    </row>
    <row x14ac:dyDescent="0.25" r="151" customHeight="1" ht="19.5">
      <c r="A151" s="196"/>
      <c r="B151" s="2" t="s">
        <v>235</v>
      </c>
      <c r="C151" s="206">
        <v>10</v>
      </c>
      <c r="D151" s="2"/>
      <c r="E151" s="207">
        <v>1</v>
      </c>
      <c r="F151" s="2" t="s">
        <v>203</v>
      </c>
      <c r="G151" s="2"/>
      <c r="H151" s="2"/>
      <c r="I151" s="2"/>
      <c r="J151" s="2"/>
      <c r="K151" s="2"/>
      <c r="L151" s="2"/>
    </row>
    <row x14ac:dyDescent="0.25" r="152" customHeight="1" ht="19.5">
      <c r="A152" s="196"/>
      <c r="B152" s="2" t="s">
        <v>236</v>
      </c>
      <c r="C152" s="206">
        <v>2.5</v>
      </c>
      <c r="D152" s="2"/>
      <c r="E152" s="207">
        <v>1</v>
      </c>
      <c r="F152" s="2" t="s">
        <v>203</v>
      </c>
      <c r="G152" s="2"/>
      <c r="H152" s="2"/>
      <c r="I152" s="2"/>
      <c r="J152" s="2"/>
      <c r="K152" s="2"/>
      <c r="L152" s="2"/>
    </row>
    <row x14ac:dyDescent="0.25" r="153" customHeight="1" ht="19.5">
      <c r="A153" s="196"/>
      <c r="B153" s="2" t="s">
        <v>237</v>
      </c>
      <c r="C153" s="206">
        <v>3.181</v>
      </c>
      <c r="D153" s="2"/>
      <c r="E153" s="207">
        <v>56</v>
      </c>
      <c r="F153" s="2" t="s">
        <v>238</v>
      </c>
      <c r="G153" s="2"/>
      <c r="H153" s="2"/>
      <c r="I153" s="2"/>
      <c r="J153" s="2"/>
      <c r="K153" s="2"/>
      <c r="L153" s="2"/>
    </row>
    <row x14ac:dyDescent="0.25" r="154" customHeight="1" ht="19.5">
      <c r="A154" s="196"/>
      <c r="B154" s="2" t="s">
        <v>239</v>
      </c>
      <c r="C154" s="206">
        <v>2</v>
      </c>
      <c r="D154" s="2"/>
      <c r="E154" s="207">
        <v>67</v>
      </c>
      <c r="F154" s="2" t="s">
        <v>240</v>
      </c>
      <c r="G154" s="2"/>
      <c r="H154" s="2"/>
      <c r="I154" s="2"/>
      <c r="J154" s="2"/>
      <c r="K154" s="2"/>
      <c r="L154" s="2"/>
    </row>
    <row x14ac:dyDescent="0.25" r="155" customHeight="1" ht="19.5">
      <c r="A155" s="196"/>
      <c r="B155" s="2" t="s">
        <v>241</v>
      </c>
      <c r="C155" s="206">
        <v>3</v>
      </c>
      <c r="D155" s="2"/>
      <c r="E155" s="207">
        <v>67</v>
      </c>
      <c r="F155" s="2" t="s">
        <v>240</v>
      </c>
      <c r="G155" s="2"/>
      <c r="H155" s="2"/>
      <c r="I155" s="2"/>
      <c r="J155" s="2"/>
      <c r="K155" s="2"/>
      <c r="L155" s="2"/>
    </row>
    <row x14ac:dyDescent="0.25" r="156" customHeight="1" ht="19.5">
      <c r="A156" s="196"/>
      <c r="B156" s="2" t="s">
        <v>242</v>
      </c>
      <c r="C156" s="206">
        <v>1.3</v>
      </c>
      <c r="D156" s="2"/>
      <c r="E156" s="207">
        <v>1</v>
      </c>
      <c r="F156" s="2" t="s">
        <v>203</v>
      </c>
      <c r="G156" s="2"/>
      <c r="H156" s="2"/>
      <c r="I156" s="2"/>
      <c r="J156" s="2"/>
      <c r="K156" s="2"/>
      <c r="L156" s="2"/>
    </row>
    <row x14ac:dyDescent="0.25" r="157" customHeight="1" ht="19.5">
      <c r="A157" s="196"/>
      <c r="B157" s="2" t="s">
        <v>243</v>
      </c>
      <c r="C157" s="206">
        <v>1.7</v>
      </c>
      <c r="D157" s="2"/>
      <c r="E157" s="207">
        <v>46</v>
      </c>
      <c r="F157" s="2" t="s">
        <v>244</v>
      </c>
      <c r="G157" s="2"/>
      <c r="H157" s="2"/>
      <c r="I157" s="2"/>
      <c r="J157" s="2"/>
      <c r="K157" s="2"/>
      <c r="L157" s="2"/>
    </row>
    <row x14ac:dyDescent="0.25" r="158" customHeight="1" ht="19.5">
      <c r="A158" s="196"/>
      <c r="B158" s="2"/>
      <c r="C158" s="206"/>
      <c r="D158" s="2"/>
      <c r="E158" s="196"/>
      <c r="F158" s="2"/>
      <c r="G158" s="2"/>
      <c r="H158" s="2"/>
      <c r="I158" s="2"/>
      <c r="J158" s="2"/>
      <c r="K158" s="2"/>
      <c r="L158" s="2"/>
    </row>
    <row x14ac:dyDescent="0.25" r="159" customHeight="1" ht="19.5">
      <c r="A159" s="196"/>
      <c r="B159" s="204" t="s">
        <v>30</v>
      </c>
      <c r="C159" s="205" t="s">
        <v>245</v>
      </c>
      <c r="D159" s="2"/>
      <c r="E159" s="196"/>
      <c r="F159" s="2"/>
      <c r="G159" s="2"/>
      <c r="H159" s="2"/>
      <c r="I159" s="2"/>
      <c r="J159" s="2"/>
      <c r="K159" s="2"/>
      <c r="L159" s="2"/>
    </row>
    <row x14ac:dyDescent="0.25" r="160" customHeight="1" ht="19.5">
      <c r="A160" s="196"/>
      <c r="B160" s="204" t="s">
        <v>246</v>
      </c>
      <c r="C160" s="206"/>
      <c r="D160" s="2"/>
      <c r="E160" s="196"/>
      <c r="F160" s="2"/>
      <c r="G160" s="2"/>
      <c r="H160" s="2"/>
      <c r="I160" s="2"/>
      <c r="J160" s="2"/>
      <c r="K160" s="2"/>
      <c r="L160" s="2"/>
    </row>
    <row x14ac:dyDescent="0.25" r="161" customHeight="1" ht="19.5">
      <c r="A161" s="196"/>
      <c r="B161" s="2" t="s">
        <v>247</v>
      </c>
      <c r="C161" s="206">
        <v>0.396</v>
      </c>
      <c r="D161" s="2"/>
      <c r="E161" s="207">
        <v>46</v>
      </c>
      <c r="F161" s="2" t="s">
        <v>244</v>
      </c>
      <c r="G161" s="2"/>
      <c r="H161" s="2"/>
      <c r="I161" s="2"/>
      <c r="J161" s="2"/>
      <c r="K161" s="2"/>
      <c r="L161" s="2"/>
    </row>
    <row x14ac:dyDescent="0.25" r="162" customHeight="1" ht="19.5">
      <c r="A162" s="196"/>
      <c r="B162" s="2" t="s">
        <v>248</v>
      </c>
      <c r="C162" s="206">
        <v>0.2</v>
      </c>
      <c r="D162" s="2"/>
      <c r="E162" s="207">
        <v>1</v>
      </c>
      <c r="F162" s="2" t="s">
        <v>203</v>
      </c>
      <c r="G162" s="2"/>
      <c r="H162" s="2"/>
      <c r="I162" s="2"/>
      <c r="J162" s="2"/>
      <c r="K162" s="2"/>
      <c r="L162" s="2"/>
    </row>
    <row x14ac:dyDescent="0.25" r="163" customHeight="1" ht="19.5">
      <c r="A163" s="196"/>
      <c r="B163" s="2" t="s">
        <v>249</v>
      </c>
      <c r="C163" s="206">
        <v>1.1</v>
      </c>
      <c r="D163" s="2"/>
      <c r="E163" s="207">
        <v>1</v>
      </c>
      <c r="F163" s="2" t="s">
        <v>203</v>
      </c>
      <c r="G163" s="2"/>
      <c r="H163" s="2"/>
      <c r="I163" s="2"/>
      <c r="J163" s="2"/>
      <c r="K163" s="2"/>
      <c r="L163" s="2"/>
    </row>
    <row x14ac:dyDescent="0.25" r="164" customHeight="1" ht="19.5">
      <c r="A164" s="196"/>
      <c r="B164" s="222" t="s">
        <v>250</v>
      </c>
      <c r="C164" s="206">
        <f>((C162/1000*400)+(C163/1000*63.75)+(C161/1000*20))/4</f>
      </c>
      <c r="D164" s="2"/>
      <c r="E164" s="196"/>
      <c r="F164" s="2"/>
      <c r="G164" s="2"/>
      <c r="H164" s="2"/>
      <c r="I164" s="2"/>
      <c r="J164" s="2"/>
      <c r="K164" s="2"/>
      <c r="L164" s="2"/>
    </row>
    <row x14ac:dyDescent="0.25" r="165" customHeight="1" ht="19.5">
      <c r="A165" s="196"/>
      <c r="B165" s="2"/>
      <c r="C165" s="206"/>
      <c r="D165" s="2"/>
      <c r="E165" s="196"/>
      <c r="F165" s="2"/>
      <c r="G165" s="2"/>
      <c r="H165" s="2"/>
      <c r="I165" s="2"/>
      <c r="J165" s="2"/>
      <c r="K165" s="2"/>
      <c r="L165" s="2"/>
    </row>
    <row x14ac:dyDescent="0.25" r="166" customHeight="1" ht="19.5">
      <c r="A166" s="196"/>
      <c r="B166" s="204" t="s">
        <v>251</v>
      </c>
      <c r="C166" s="206"/>
      <c r="D166" s="2"/>
      <c r="E166" s="196"/>
      <c r="F166" s="2"/>
      <c r="G166" s="2"/>
      <c r="H166" s="2"/>
      <c r="I166" s="2"/>
      <c r="J166" s="2"/>
      <c r="K166" s="2"/>
      <c r="L166" s="2"/>
    </row>
    <row x14ac:dyDescent="0.25" r="167" customHeight="1" ht="19.5">
      <c r="A167" s="196"/>
      <c r="B167" s="2" t="s">
        <v>252</v>
      </c>
      <c r="C167" s="206">
        <v>1.13</v>
      </c>
      <c r="D167" s="2"/>
      <c r="E167" s="207">
        <v>46</v>
      </c>
      <c r="F167" s="2" t="s">
        <v>244</v>
      </c>
      <c r="G167" s="2"/>
      <c r="H167" s="2"/>
      <c r="I167" s="2"/>
      <c r="J167" s="2"/>
      <c r="K167" s="2"/>
      <c r="L167" s="2"/>
    </row>
    <row x14ac:dyDescent="0.25" r="168" customHeight="1" ht="19.5">
      <c r="A168" s="196"/>
      <c r="B168" s="2" t="s">
        <v>224</v>
      </c>
      <c r="C168" s="206">
        <v>1.1</v>
      </c>
      <c r="D168" s="2"/>
      <c r="E168" s="207">
        <v>43</v>
      </c>
      <c r="F168" s="2" t="s">
        <v>225</v>
      </c>
      <c r="G168" s="2"/>
      <c r="H168" s="2"/>
      <c r="I168" s="2"/>
      <c r="J168" s="2"/>
      <c r="K168" s="2"/>
      <c r="L168" s="2"/>
    </row>
    <row x14ac:dyDescent="0.25" r="169" customHeight="1" ht="19.5">
      <c r="A169" s="196"/>
      <c r="B169" s="2" t="s">
        <v>236</v>
      </c>
      <c r="C169" s="206">
        <v>2.5</v>
      </c>
      <c r="D169" s="2"/>
      <c r="E169" s="207">
        <v>1</v>
      </c>
      <c r="F169" s="2" t="s">
        <v>203</v>
      </c>
      <c r="G169" s="2"/>
      <c r="H169" s="2"/>
      <c r="I169" s="2"/>
      <c r="J169" s="2"/>
      <c r="K169" s="2"/>
      <c r="L169" s="2"/>
    </row>
    <row x14ac:dyDescent="0.25" r="170" customHeight="1" ht="19.5">
      <c r="A170" s="196"/>
      <c r="B170" s="2" t="s">
        <v>249</v>
      </c>
      <c r="C170" s="206">
        <v>1.1</v>
      </c>
      <c r="D170" s="2"/>
      <c r="E170" s="207">
        <v>1</v>
      </c>
      <c r="F170" s="2" t="s">
        <v>203</v>
      </c>
      <c r="G170" s="2"/>
      <c r="H170" s="2"/>
      <c r="I170" s="2"/>
      <c r="J170" s="2"/>
      <c r="K170" s="2"/>
      <c r="L170" s="2"/>
    </row>
    <row x14ac:dyDescent="0.25" r="171" customHeight="1" ht="19.5">
      <c r="A171" s="217" t="s">
        <v>253</v>
      </c>
      <c r="B171" s="2" t="s">
        <v>254</v>
      </c>
      <c r="C171" s="223"/>
      <c r="D171" s="2"/>
      <c r="E171" s="196"/>
      <c r="F171" s="2"/>
      <c r="G171" s="2"/>
      <c r="H171" s="2"/>
      <c r="I171" s="2"/>
      <c r="J171" s="2"/>
      <c r="K171" s="2"/>
      <c r="L171" s="2"/>
    </row>
    <row x14ac:dyDescent="0.25" r="172" customHeight="1" ht="19.5">
      <c r="A172" s="196"/>
      <c r="B172" s="222" t="s">
        <v>250</v>
      </c>
      <c r="C172" s="206">
        <f>((C167/1000*195)+(C168/1000*500)+(C169/1000*180)+(C170/1000*12))/6</f>
      </c>
      <c r="D172" s="2"/>
      <c r="E172" s="196"/>
      <c r="F172" s="2"/>
      <c r="G172" s="2"/>
      <c r="H172" s="2"/>
      <c r="I172" s="2"/>
      <c r="J172" s="2"/>
      <c r="K172" s="2"/>
      <c r="L172" s="2"/>
    </row>
    <row x14ac:dyDescent="0.25" r="173" customHeight="1" ht="19.5">
      <c r="A173" s="196"/>
      <c r="B173" s="2"/>
      <c r="C173" s="206"/>
      <c r="D173" s="2"/>
      <c r="E173" s="196"/>
      <c r="F173" s="2"/>
      <c r="G173" s="2"/>
      <c r="H173" s="2"/>
      <c r="I173" s="2"/>
      <c r="J173" s="2"/>
      <c r="K173" s="2"/>
      <c r="L173" s="2"/>
    </row>
    <row x14ac:dyDescent="0.25" r="174" customHeight="1" ht="19.5">
      <c r="A174" s="196"/>
      <c r="B174" s="204" t="s">
        <v>255</v>
      </c>
      <c r="C174" s="206"/>
      <c r="D174" s="2"/>
      <c r="E174" s="196"/>
      <c r="F174" s="2"/>
      <c r="G174" s="2"/>
      <c r="H174" s="2"/>
      <c r="I174" s="2"/>
      <c r="J174" s="2"/>
      <c r="K174" s="2"/>
      <c r="L174" s="2"/>
    </row>
    <row x14ac:dyDescent="0.25" r="175" customHeight="1" ht="19.5">
      <c r="A175" s="196"/>
      <c r="B175" s="2" t="s">
        <v>239</v>
      </c>
      <c r="C175" s="206">
        <v>2</v>
      </c>
      <c r="D175" s="2"/>
      <c r="E175" s="207">
        <v>67</v>
      </c>
      <c r="F175" s="2" t="s">
        <v>240</v>
      </c>
      <c r="G175" s="2"/>
      <c r="H175" s="2"/>
      <c r="I175" s="2"/>
      <c r="J175" s="2"/>
      <c r="K175" s="2"/>
      <c r="L175" s="2"/>
    </row>
    <row x14ac:dyDescent="0.25" r="176" customHeight="1" ht="19.5">
      <c r="A176" s="196"/>
      <c r="B176" s="2" t="s">
        <v>256</v>
      </c>
      <c r="C176" s="206">
        <v>0.3</v>
      </c>
      <c r="D176" s="2"/>
      <c r="E176" s="207">
        <v>50</v>
      </c>
      <c r="F176" s="2" t="s">
        <v>234</v>
      </c>
      <c r="G176" s="2"/>
      <c r="H176" s="2"/>
      <c r="I176" s="2"/>
      <c r="J176" s="2"/>
      <c r="K176" s="2"/>
      <c r="L176" s="2"/>
    </row>
    <row x14ac:dyDescent="0.25" r="177" customHeight="1" ht="19.5">
      <c r="A177" s="196"/>
      <c r="B177" s="2" t="s">
        <v>241</v>
      </c>
      <c r="C177" s="206">
        <v>3</v>
      </c>
      <c r="D177" s="2"/>
      <c r="E177" s="207">
        <v>67</v>
      </c>
      <c r="F177" s="2" t="s">
        <v>240</v>
      </c>
      <c r="G177" s="2"/>
      <c r="H177" s="2"/>
      <c r="I177" s="2"/>
      <c r="J177" s="2"/>
      <c r="K177" s="2"/>
      <c r="L177" s="2"/>
    </row>
    <row x14ac:dyDescent="0.25" r="178" customHeight="1" ht="19.5">
      <c r="A178" s="196"/>
      <c r="B178" s="222"/>
      <c r="C178" s="206">
        <f>(C175/1000*50)+(C176/1000*50)+(C177/1000*50)</f>
      </c>
      <c r="D178" s="2"/>
      <c r="E178" s="196"/>
      <c r="F178" s="2"/>
      <c r="G178" s="2"/>
      <c r="H178" s="2"/>
      <c r="I178" s="2"/>
      <c r="J178" s="2"/>
      <c r="K178" s="2"/>
      <c r="L178" s="2"/>
    </row>
    <row x14ac:dyDescent="0.25" r="179" customHeight="1" ht="19.5">
      <c r="A179" s="196"/>
      <c r="B179" s="2"/>
      <c r="C179" s="206"/>
      <c r="D179" s="2"/>
      <c r="E179" s="196"/>
      <c r="F179" s="2"/>
      <c r="G179" s="2"/>
      <c r="H179" s="2"/>
      <c r="I179" s="2"/>
      <c r="J179" s="2"/>
      <c r="K179" s="2"/>
      <c r="L179" s="2"/>
    </row>
    <row x14ac:dyDescent="0.25" r="180" customHeight="1" ht="19.5">
      <c r="A180" s="224"/>
      <c r="B180" s="2"/>
      <c r="C180" s="46"/>
      <c r="D180" s="2"/>
      <c r="E180" s="225"/>
      <c r="F180" s="2"/>
      <c r="G180" s="2"/>
      <c r="H180" s="2"/>
      <c r="I180" s="2"/>
      <c r="J180" s="2"/>
      <c r="K180" s="2"/>
      <c r="L180" s="2"/>
    </row>
    <row x14ac:dyDescent="0.25" r="181" customHeight="1" ht="19.5">
      <c r="A181" s="224"/>
      <c r="B181" s="8" t="s">
        <v>257</v>
      </c>
      <c r="C181" s="46"/>
      <c r="D181" s="2"/>
      <c r="E181" s="225"/>
      <c r="F181" s="2"/>
      <c r="G181" s="2"/>
      <c r="H181" s="2"/>
      <c r="I181" s="2"/>
      <c r="J181" s="2"/>
      <c r="K181" s="2"/>
      <c r="L181" s="2"/>
    </row>
    <row x14ac:dyDescent="0.25" r="182" customHeight="1" ht="19.5">
      <c r="A182" s="226">
        <v>1</v>
      </c>
      <c r="B182" s="2" t="s">
        <v>258</v>
      </c>
      <c r="C182" s="46"/>
      <c r="D182" s="2"/>
      <c r="E182" s="225"/>
      <c r="F182" s="2"/>
      <c r="G182" s="2"/>
      <c r="H182" s="2"/>
      <c r="I182" s="2"/>
      <c r="J182" s="2"/>
      <c r="K182" s="2"/>
      <c r="L182" s="2"/>
    </row>
    <row x14ac:dyDescent="0.25" r="183" customHeight="1" ht="19.5">
      <c r="A183" s="227">
        <v>2</v>
      </c>
      <c r="B183" s="6" t="s">
        <v>259</v>
      </c>
      <c r="C183" s="46"/>
      <c r="D183" s="2"/>
      <c r="E183" s="225"/>
      <c r="F183" s="2"/>
      <c r="G183" s="2"/>
      <c r="H183" s="2"/>
      <c r="I183" s="2"/>
      <c r="J183" s="2"/>
      <c r="K183" s="2"/>
      <c r="L183" s="2"/>
    </row>
    <row x14ac:dyDescent="0.25" r="184" customHeight="1" ht="19.5">
      <c r="A184" s="226">
        <v>3</v>
      </c>
      <c r="B184" s="6" t="s">
        <v>260</v>
      </c>
      <c r="C184" s="46"/>
      <c r="D184" s="2"/>
      <c r="E184" s="225"/>
      <c r="F184" s="2"/>
      <c r="G184" s="2"/>
      <c r="H184" s="2"/>
      <c r="I184" s="2"/>
      <c r="J184" s="2"/>
      <c r="K184" s="2"/>
      <c r="L184" s="2"/>
    </row>
    <row x14ac:dyDescent="0.25" r="185" customHeight="1" ht="19.5">
      <c r="A185" s="226">
        <v>4</v>
      </c>
      <c r="B185" s="6" t="s">
        <v>261</v>
      </c>
      <c r="C185" s="46"/>
      <c r="D185" s="2"/>
      <c r="E185" s="225"/>
      <c r="F185" s="2"/>
      <c r="G185" s="2"/>
      <c r="H185" s="2"/>
      <c r="I185" s="2"/>
      <c r="J185" s="2"/>
      <c r="K185" s="2"/>
      <c r="L185" s="2"/>
    </row>
    <row x14ac:dyDescent="0.25" r="186" customHeight="1" ht="19.5">
      <c r="A186" s="227">
        <v>5</v>
      </c>
      <c r="B186" s="6" t="s">
        <v>262</v>
      </c>
      <c r="C186" s="46"/>
      <c r="D186" s="2"/>
      <c r="E186" s="225"/>
      <c r="F186" s="2"/>
      <c r="G186" s="2"/>
      <c r="H186" s="2"/>
      <c r="I186" s="2"/>
      <c r="J186" s="2"/>
      <c r="K186" s="2"/>
      <c r="L186" s="2"/>
    </row>
    <row x14ac:dyDescent="0.25" r="187" customHeight="1" ht="19.5">
      <c r="A187" s="226">
        <v>6</v>
      </c>
      <c r="B187" s="6" t="s">
        <v>263</v>
      </c>
      <c r="C187" s="46"/>
      <c r="D187" s="2"/>
      <c r="E187" s="225"/>
      <c r="F187" s="2"/>
      <c r="G187" s="2"/>
      <c r="H187" s="2"/>
      <c r="I187" s="2"/>
      <c r="J187" s="2"/>
      <c r="K187" s="2"/>
      <c r="L187" s="2"/>
    </row>
    <row x14ac:dyDescent="0.25" r="188" customHeight="1" ht="19.5">
      <c r="A188" s="226">
        <v>7</v>
      </c>
      <c r="B188" s="6" t="s">
        <v>264</v>
      </c>
      <c r="C188" s="46"/>
      <c r="D188" s="2"/>
      <c r="E188" s="225"/>
      <c r="F188" s="2"/>
      <c r="G188" s="2"/>
      <c r="H188" s="2"/>
      <c r="I188" s="2"/>
      <c r="J188" s="2"/>
      <c r="K188" s="2"/>
      <c r="L188" s="2"/>
    </row>
    <row x14ac:dyDescent="0.25" r="189" customHeight="1" ht="19.5">
      <c r="A189" s="227">
        <v>8</v>
      </c>
      <c r="B189" s="6" t="s">
        <v>265</v>
      </c>
      <c r="C189" s="46"/>
      <c r="D189" s="2"/>
      <c r="E189" s="225"/>
      <c r="F189" s="2"/>
      <c r="G189" s="2"/>
      <c r="H189" s="2"/>
      <c r="I189" s="2"/>
      <c r="J189" s="2"/>
      <c r="K189" s="2"/>
      <c r="L189" s="2"/>
    </row>
    <row x14ac:dyDescent="0.25" r="190" customHeight="1" ht="19.5">
      <c r="A190" s="226">
        <v>9</v>
      </c>
      <c r="B190" s="6" t="s">
        <v>266</v>
      </c>
      <c r="C190" s="46"/>
      <c r="D190" s="2"/>
      <c r="E190" s="225"/>
      <c r="F190" s="2"/>
      <c r="G190" s="2"/>
      <c r="H190" s="2"/>
      <c r="I190" s="2"/>
      <c r="J190" s="2"/>
      <c r="K190" s="2"/>
      <c r="L190" s="2"/>
    </row>
    <row x14ac:dyDescent="0.25" r="191" customHeight="1" ht="19.5">
      <c r="A191" s="227">
        <v>10</v>
      </c>
      <c r="B191" s="6" t="s">
        <v>267</v>
      </c>
      <c r="C191" s="46"/>
      <c r="D191" s="2"/>
      <c r="E191" s="225"/>
      <c r="F191" s="2"/>
      <c r="G191" s="2"/>
      <c r="H191" s="2"/>
      <c r="I191" s="2"/>
      <c r="J191" s="2"/>
      <c r="K191" s="2"/>
      <c r="L191" s="2"/>
    </row>
    <row x14ac:dyDescent="0.25" r="192" customHeight="1" ht="19.5">
      <c r="A192" s="226">
        <v>11</v>
      </c>
      <c r="B192" s="2" t="s">
        <v>268</v>
      </c>
      <c r="C192" s="46"/>
      <c r="D192" s="2"/>
      <c r="E192" s="225"/>
      <c r="F192" s="2"/>
      <c r="G192" s="2"/>
      <c r="H192" s="2"/>
      <c r="I192" s="2"/>
      <c r="J192" s="2"/>
      <c r="K192" s="2"/>
      <c r="L192" s="2"/>
    </row>
    <row x14ac:dyDescent="0.25" r="193" customHeight="1" ht="19.5">
      <c r="A193" s="226">
        <v>12</v>
      </c>
      <c r="B193" s="6" t="s">
        <v>269</v>
      </c>
      <c r="C193" s="46"/>
      <c r="D193" s="2"/>
      <c r="E193" s="225"/>
      <c r="F193" s="2"/>
      <c r="G193" s="2"/>
      <c r="H193" s="2"/>
      <c r="I193" s="2"/>
      <c r="J193" s="2"/>
      <c r="K193" s="2"/>
      <c r="L193" s="2"/>
    </row>
    <row x14ac:dyDescent="0.25" r="194" customHeight="1" ht="19.5">
      <c r="A194" s="227">
        <v>13</v>
      </c>
      <c r="B194" s="6" t="s">
        <v>270</v>
      </c>
      <c r="C194" s="46"/>
      <c r="D194" s="2"/>
      <c r="E194" s="225"/>
      <c r="F194" s="2"/>
      <c r="G194" s="2"/>
      <c r="H194" s="2"/>
      <c r="I194" s="2"/>
      <c r="J194" s="2"/>
      <c r="K194" s="2"/>
      <c r="L194" s="2"/>
    </row>
    <row x14ac:dyDescent="0.25" r="195" customHeight="1" ht="19.5">
      <c r="A195" s="226">
        <v>14</v>
      </c>
      <c r="B195" s="6" t="s">
        <v>271</v>
      </c>
      <c r="C195" s="46"/>
      <c r="D195" s="2"/>
      <c r="E195" s="225"/>
      <c r="F195" s="2"/>
      <c r="G195" s="2"/>
      <c r="H195" s="2"/>
      <c r="I195" s="2"/>
      <c r="J195" s="2"/>
      <c r="K195" s="2"/>
      <c r="L195" s="2"/>
    </row>
    <row x14ac:dyDescent="0.25" r="196" customHeight="1" ht="19.5">
      <c r="A196" s="227">
        <v>15</v>
      </c>
      <c r="B196" s="6" t="s">
        <v>272</v>
      </c>
      <c r="C196" s="46"/>
      <c r="D196" s="2"/>
      <c r="E196" s="225"/>
      <c r="F196" s="2"/>
      <c r="G196" s="2"/>
      <c r="H196" s="2"/>
      <c r="I196" s="2"/>
      <c r="J196" s="2"/>
      <c r="K196" s="2"/>
      <c r="L196" s="2"/>
    </row>
    <row x14ac:dyDescent="0.25" r="197" customHeight="1" ht="19.5">
      <c r="A197" s="226">
        <v>16</v>
      </c>
      <c r="B197" s="6" t="s">
        <v>273</v>
      </c>
      <c r="C197" s="46"/>
      <c r="D197" s="2"/>
      <c r="E197" s="225"/>
      <c r="F197" s="2"/>
      <c r="G197" s="2"/>
      <c r="H197" s="2"/>
      <c r="I197" s="2"/>
      <c r="J197" s="2"/>
      <c r="K197" s="2"/>
      <c r="L197" s="2"/>
    </row>
    <row x14ac:dyDescent="0.25" r="198" customHeight="1" ht="19.5">
      <c r="A198" s="226">
        <v>17</v>
      </c>
      <c r="B198" s="6" t="s">
        <v>274</v>
      </c>
      <c r="C198" s="46"/>
      <c r="D198" s="2"/>
      <c r="E198" s="225"/>
      <c r="F198" s="2"/>
      <c r="G198" s="2"/>
      <c r="H198" s="2"/>
      <c r="I198" s="2"/>
      <c r="J198" s="2"/>
      <c r="K198" s="2"/>
      <c r="L198" s="2"/>
    </row>
    <row x14ac:dyDescent="0.25" r="199" customHeight="1" ht="19.5">
      <c r="A199" s="227">
        <v>18</v>
      </c>
      <c r="B199" s="2" t="s">
        <v>275</v>
      </c>
      <c r="C199" s="46"/>
      <c r="D199" s="2"/>
      <c r="E199" s="225"/>
      <c r="F199" s="2"/>
      <c r="G199" s="2"/>
      <c r="H199" s="2"/>
      <c r="I199" s="2"/>
      <c r="J199" s="2"/>
      <c r="K199" s="2"/>
      <c r="L199" s="2"/>
    </row>
    <row x14ac:dyDescent="0.25" r="200" customHeight="1" ht="19.5">
      <c r="A200" s="226">
        <v>19</v>
      </c>
      <c r="B200" s="6" t="s">
        <v>276</v>
      </c>
      <c r="C200" s="46"/>
      <c r="D200" s="2"/>
      <c r="E200" s="225"/>
      <c r="F200" s="2"/>
      <c r="G200" s="2"/>
      <c r="H200" s="2"/>
      <c r="I200" s="2"/>
      <c r="J200" s="2"/>
      <c r="K200" s="2"/>
      <c r="L200" s="2"/>
    </row>
    <row x14ac:dyDescent="0.25" r="201" customHeight="1" ht="19.5">
      <c r="A201" s="227">
        <v>20</v>
      </c>
      <c r="B201" s="6" t="s">
        <v>277</v>
      </c>
      <c r="C201" s="46"/>
      <c r="D201" s="2"/>
      <c r="E201" s="225"/>
      <c r="F201" s="2"/>
      <c r="G201" s="2"/>
      <c r="H201" s="2"/>
      <c r="I201" s="2"/>
      <c r="J201" s="2"/>
      <c r="K201" s="2"/>
      <c r="L201" s="2"/>
    </row>
    <row x14ac:dyDescent="0.25" r="202" customHeight="1" ht="19.5">
      <c r="A202" s="228">
        <v>21</v>
      </c>
      <c r="B202" s="6" t="s">
        <v>278</v>
      </c>
      <c r="C202" s="46"/>
      <c r="D202" s="2"/>
      <c r="E202" s="225"/>
      <c r="F202" s="2"/>
      <c r="G202" s="2"/>
      <c r="H202" s="2"/>
      <c r="I202" s="2"/>
      <c r="J202" s="2"/>
      <c r="K202" s="2"/>
      <c r="L202" s="2"/>
    </row>
    <row x14ac:dyDescent="0.25" r="203" customHeight="1" ht="19.5">
      <c r="A203" s="229">
        <v>22</v>
      </c>
      <c r="B203" s="6" t="s">
        <v>279</v>
      </c>
      <c r="C203" s="46"/>
      <c r="D203" s="2"/>
      <c r="E203" s="225"/>
      <c r="F203" s="2"/>
      <c r="G203" s="2"/>
      <c r="H203" s="2"/>
      <c r="I203" s="2"/>
      <c r="J203" s="2"/>
      <c r="K203" s="2"/>
      <c r="L203" s="2"/>
    </row>
    <row x14ac:dyDescent="0.25" r="204" customHeight="1" ht="19.5">
      <c r="A204" s="229">
        <v>23</v>
      </c>
      <c r="B204" s="86" t="s">
        <v>280</v>
      </c>
      <c r="C204" s="46"/>
      <c r="D204" s="2"/>
      <c r="E204" s="225"/>
      <c r="F204" s="2"/>
      <c r="G204" s="2"/>
      <c r="H204" s="2"/>
      <c r="I204" s="2"/>
      <c r="J204" s="2"/>
      <c r="K204" s="2"/>
      <c r="L204" s="2"/>
    </row>
    <row x14ac:dyDescent="0.25" r="205" customHeight="1" ht="19.5">
      <c r="A205" s="229">
        <v>24</v>
      </c>
      <c r="B205" s="86" t="s">
        <v>281</v>
      </c>
      <c r="C205" s="46"/>
      <c r="D205" s="2"/>
      <c r="E205" s="225"/>
      <c r="F205" s="2"/>
      <c r="G205" s="2"/>
      <c r="H205" s="2"/>
      <c r="I205" s="2"/>
      <c r="J205" s="2"/>
      <c r="K205" s="2"/>
      <c r="L205" s="2"/>
    </row>
    <row x14ac:dyDescent="0.25" r="206" customHeight="1" ht="19.5">
      <c r="A206" s="229">
        <v>25</v>
      </c>
      <c r="B206" s="6" t="s">
        <v>282</v>
      </c>
      <c r="C206" s="46"/>
      <c r="D206" s="2"/>
      <c r="E206" s="225"/>
      <c r="F206" s="2"/>
      <c r="G206" s="2"/>
      <c r="H206" s="2"/>
      <c r="I206" s="2"/>
      <c r="J206" s="2"/>
      <c r="K206" s="2"/>
      <c r="L206" s="2"/>
    </row>
    <row x14ac:dyDescent="0.25" r="207" customHeight="1" ht="19.5">
      <c r="A207" s="229">
        <v>26</v>
      </c>
      <c r="B207" s="6" t="s">
        <v>283</v>
      </c>
      <c r="C207" s="46"/>
      <c r="D207" s="2"/>
      <c r="E207" s="225"/>
      <c r="F207" s="2"/>
      <c r="G207" s="2"/>
      <c r="H207" s="2"/>
      <c r="I207" s="2"/>
      <c r="J207" s="2"/>
      <c r="K207" s="2"/>
      <c r="L207" s="2"/>
    </row>
    <row x14ac:dyDescent="0.25" r="208" customHeight="1" ht="19.5">
      <c r="A208" s="229">
        <v>27</v>
      </c>
      <c r="B208" s="6" t="s">
        <v>284</v>
      </c>
      <c r="C208" s="46"/>
      <c r="D208" s="2"/>
      <c r="E208" s="225"/>
      <c r="F208" s="2"/>
      <c r="G208" s="2"/>
      <c r="H208" s="2"/>
      <c r="I208" s="2"/>
      <c r="J208" s="2"/>
      <c r="K208" s="2"/>
      <c r="L208" s="2"/>
    </row>
    <row x14ac:dyDescent="0.25" r="209" customHeight="1" ht="19.5">
      <c r="A209" s="229">
        <v>28</v>
      </c>
      <c r="B209" s="6" t="s">
        <v>285</v>
      </c>
      <c r="C209" s="46"/>
      <c r="D209" s="2"/>
      <c r="E209" s="225"/>
      <c r="F209" s="2"/>
      <c r="G209" s="2"/>
      <c r="H209" s="2"/>
      <c r="I209" s="2"/>
      <c r="J209" s="2"/>
      <c r="K209" s="2"/>
      <c r="L209" s="2"/>
    </row>
    <row x14ac:dyDescent="0.25" r="210" customHeight="1" ht="19.5">
      <c r="A210" s="229">
        <v>29</v>
      </c>
      <c r="B210" s="6" t="s">
        <v>286</v>
      </c>
      <c r="C210" s="46"/>
      <c r="D210" s="2"/>
      <c r="E210" s="225"/>
      <c r="F210" s="2"/>
      <c r="G210" s="2"/>
      <c r="H210" s="2"/>
      <c r="I210" s="2"/>
      <c r="J210" s="2"/>
      <c r="K210" s="2"/>
      <c r="L210" s="2"/>
    </row>
    <row x14ac:dyDescent="0.25" r="211" customHeight="1" ht="19.5">
      <c r="A211" s="229">
        <v>30</v>
      </c>
      <c r="B211" s="6" t="s">
        <v>287</v>
      </c>
      <c r="C211" s="46"/>
      <c r="D211" s="2"/>
      <c r="E211" s="225"/>
      <c r="F211" s="2"/>
      <c r="G211" s="2"/>
      <c r="H211" s="2"/>
      <c r="I211" s="2"/>
      <c r="J211" s="2"/>
      <c r="K211" s="2"/>
      <c r="L211" s="2"/>
    </row>
    <row x14ac:dyDescent="0.25" r="212" customHeight="1" ht="19.5">
      <c r="A212" s="229">
        <v>31</v>
      </c>
      <c r="B212" s="6" t="s">
        <v>288</v>
      </c>
      <c r="C212" s="46"/>
      <c r="D212" s="2"/>
      <c r="E212" s="225"/>
      <c r="F212" s="2"/>
      <c r="G212" s="2"/>
      <c r="H212" s="2"/>
      <c r="I212" s="2"/>
      <c r="J212" s="2"/>
      <c r="K212" s="2"/>
      <c r="L212" s="2"/>
    </row>
    <row x14ac:dyDescent="0.25" r="213" customHeight="1" ht="19.5">
      <c r="A213" s="230">
        <v>32</v>
      </c>
      <c r="B213" s="6" t="s">
        <v>289</v>
      </c>
      <c r="C213" s="46"/>
      <c r="D213" s="2"/>
      <c r="E213" s="225"/>
      <c r="F213" s="2"/>
      <c r="G213" s="2"/>
      <c r="H213" s="2"/>
      <c r="I213" s="2"/>
      <c r="J213" s="2"/>
      <c r="K213" s="2"/>
      <c r="L213" s="2"/>
    </row>
    <row x14ac:dyDescent="0.25" r="214" customHeight="1" ht="19.5">
      <c r="A214" s="229">
        <v>33</v>
      </c>
      <c r="B214" s="6" t="s">
        <v>290</v>
      </c>
      <c r="C214" s="46"/>
      <c r="D214" s="2"/>
      <c r="E214" s="225"/>
      <c r="F214" s="2"/>
      <c r="G214" s="2"/>
      <c r="H214" s="2"/>
      <c r="I214" s="2"/>
      <c r="J214" s="2"/>
      <c r="K214" s="2"/>
      <c r="L214" s="2"/>
    </row>
    <row x14ac:dyDescent="0.25" r="215" customHeight="1" ht="19.5">
      <c r="A215" s="229">
        <v>34</v>
      </c>
      <c r="B215" s="86" t="s">
        <v>291</v>
      </c>
      <c r="C215" s="46"/>
      <c r="D215" s="2"/>
      <c r="E215" s="225"/>
      <c r="F215" s="2"/>
      <c r="G215" s="2"/>
      <c r="H215" s="2"/>
      <c r="I215" s="2"/>
      <c r="J215" s="2"/>
      <c r="K215" s="2"/>
      <c r="L215" s="2"/>
    </row>
    <row x14ac:dyDescent="0.25" r="216" customHeight="1" ht="19.5">
      <c r="A216" s="229">
        <v>35</v>
      </c>
      <c r="B216" s="6" t="s">
        <v>292</v>
      </c>
      <c r="C216" s="46"/>
      <c r="D216" s="2"/>
      <c r="E216" s="225"/>
      <c r="F216" s="2"/>
      <c r="G216" s="2"/>
      <c r="H216" s="2"/>
      <c r="I216" s="2"/>
      <c r="J216" s="2"/>
      <c r="K216" s="2"/>
      <c r="L216" s="2"/>
    </row>
    <row x14ac:dyDescent="0.25" r="217" customHeight="1" ht="19.5">
      <c r="A217" s="229">
        <v>36</v>
      </c>
      <c r="B217" s="6" t="s">
        <v>293</v>
      </c>
      <c r="C217" s="46"/>
      <c r="D217" s="2"/>
      <c r="E217" s="225"/>
      <c r="F217" s="2"/>
      <c r="G217" s="2"/>
      <c r="H217" s="2"/>
      <c r="I217" s="2"/>
      <c r="J217" s="2"/>
      <c r="K217" s="2"/>
      <c r="L217" s="2"/>
    </row>
    <row x14ac:dyDescent="0.25" r="218" customHeight="1" ht="19.5">
      <c r="A218" s="229">
        <v>37</v>
      </c>
      <c r="B218" s="6" t="s">
        <v>294</v>
      </c>
      <c r="C218" s="46"/>
      <c r="D218" s="2"/>
      <c r="E218" s="225"/>
      <c r="F218" s="2"/>
      <c r="G218" s="2"/>
      <c r="H218" s="2"/>
      <c r="I218" s="2"/>
      <c r="J218" s="2"/>
      <c r="K218" s="2"/>
      <c r="L218" s="2"/>
    </row>
    <row x14ac:dyDescent="0.25" r="219" customHeight="1" ht="19.5">
      <c r="A219" s="229">
        <v>38</v>
      </c>
      <c r="B219" s="6" t="s">
        <v>295</v>
      </c>
      <c r="C219" s="46"/>
      <c r="D219" s="2"/>
      <c r="E219" s="225"/>
      <c r="F219" s="2"/>
      <c r="G219" s="2"/>
      <c r="H219" s="2"/>
      <c r="I219" s="2"/>
      <c r="J219" s="2"/>
      <c r="K219" s="2"/>
      <c r="L219" s="2"/>
    </row>
    <row x14ac:dyDescent="0.25" r="220" customHeight="1" ht="19.5">
      <c r="A220" s="229">
        <v>39</v>
      </c>
      <c r="B220" s="6" t="s">
        <v>296</v>
      </c>
      <c r="C220" s="46"/>
      <c r="D220" s="2"/>
      <c r="E220" s="225"/>
      <c r="F220" s="2"/>
      <c r="G220" s="2"/>
      <c r="H220" s="2"/>
      <c r="I220" s="2"/>
      <c r="J220" s="2"/>
      <c r="K220" s="2"/>
      <c r="L220" s="2"/>
    </row>
    <row x14ac:dyDescent="0.25" r="221" customHeight="1" ht="19.5">
      <c r="A221" s="229">
        <v>40</v>
      </c>
      <c r="B221" s="6" t="s">
        <v>297</v>
      </c>
      <c r="C221" s="46"/>
      <c r="D221" s="2"/>
      <c r="E221" s="225"/>
      <c r="F221" s="2"/>
      <c r="G221" s="2"/>
      <c r="H221" s="2"/>
      <c r="I221" s="2"/>
      <c r="J221" s="2"/>
      <c r="K221" s="2"/>
      <c r="L221" s="2"/>
    </row>
    <row x14ac:dyDescent="0.25" r="222" customHeight="1" ht="19.5">
      <c r="A222" s="229">
        <v>41</v>
      </c>
      <c r="B222" s="6" t="s">
        <v>298</v>
      </c>
      <c r="C222" s="46"/>
      <c r="D222" s="2"/>
      <c r="E222" s="225"/>
      <c r="F222" s="2"/>
      <c r="G222" s="2"/>
      <c r="H222" s="2"/>
      <c r="I222" s="2"/>
      <c r="J222" s="2"/>
      <c r="K222" s="2"/>
      <c r="L222" s="2"/>
    </row>
    <row x14ac:dyDescent="0.25" r="223" customHeight="1" ht="19.5">
      <c r="A223" s="229">
        <v>42</v>
      </c>
      <c r="B223" s="6" t="s">
        <v>299</v>
      </c>
      <c r="C223" s="46"/>
      <c r="D223" s="2"/>
      <c r="E223" s="225"/>
      <c r="F223" s="2"/>
      <c r="G223" s="2"/>
      <c r="H223" s="2"/>
      <c r="I223" s="2"/>
      <c r="J223" s="2"/>
      <c r="K223" s="2"/>
      <c r="L223" s="2"/>
    </row>
    <row x14ac:dyDescent="0.25" r="224" customHeight="1" ht="19.5">
      <c r="A224" s="229">
        <v>43</v>
      </c>
      <c r="B224" s="6" t="s">
        <v>300</v>
      </c>
      <c r="C224" s="46"/>
      <c r="D224" s="2"/>
      <c r="E224" s="225"/>
      <c r="F224" s="2"/>
      <c r="G224" s="2"/>
      <c r="H224" s="2"/>
      <c r="I224" s="2"/>
      <c r="J224" s="2"/>
      <c r="K224" s="2"/>
      <c r="L224" s="2"/>
    </row>
    <row x14ac:dyDescent="0.25" r="225" customHeight="1" ht="19.5">
      <c r="A225" s="229">
        <v>44</v>
      </c>
      <c r="B225" s="6" t="s">
        <v>301</v>
      </c>
      <c r="C225" s="46"/>
      <c r="D225" s="2"/>
      <c r="E225" s="225"/>
      <c r="F225" s="2"/>
      <c r="G225" s="2"/>
      <c r="H225" s="2"/>
      <c r="I225" s="2"/>
      <c r="J225" s="2"/>
      <c r="K225" s="2"/>
      <c r="L225" s="2"/>
    </row>
    <row x14ac:dyDescent="0.25" r="226" customHeight="1" ht="19.5">
      <c r="A226" s="229">
        <v>45</v>
      </c>
      <c r="B226" s="6" t="s">
        <v>302</v>
      </c>
      <c r="C226" s="46"/>
      <c r="D226" s="2"/>
      <c r="E226" s="225"/>
      <c r="F226" s="2"/>
      <c r="G226" s="2"/>
      <c r="H226" s="2"/>
      <c r="I226" s="2"/>
      <c r="J226" s="2"/>
      <c r="K226" s="2"/>
      <c r="L226" s="2"/>
    </row>
    <row x14ac:dyDescent="0.25" r="227" customHeight="1" ht="19.5">
      <c r="A227" s="229">
        <v>46</v>
      </c>
      <c r="B227" s="6" t="s">
        <v>303</v>
      </c>
      <c r="C227" s="46"/>
      <c r="D227" s="2"/>
      <c r="E227" s="225"/>
      <c r="F227" s="2"/>
      <c r="G227" s="2"/>
      <c r="H227" s="2"/>
      <c r="I227" s="2"/>
      <c r="J227" s="2"/>
      <c r="K227" s="2"/>
      <c r="L227" s="2"/>
    </row>
    <row x14ac:dyDescent="0.25" r="228" customHeight="1" ht="19.5">
      <c r="A228" s="229">
        <v>47</v>
      </c>
      <c r="B228" s="6" t="s">
        <v>304</v>
      </c>
      <c r="C228" s="46"/>
      <c r="D228" s="2"/>
      <c r="E228" s="225"/>
      <c r="F228" s="2"/>
      <c r="G228" s="2"/>
      <c r="H228" s="2"/>
      <c r="I228" s="2"/>
      <c r="J228" s="2"/>
      <c r="K228" s="2"/>
      <c r="L228" s="2"/>
    </row>
    <row x14ac:dyDescent="0.25" r="229" customHeight="1" ht="19.5">
      <c r="A229" s="229">
        <v>48</v>
      </c>
      <c r="B229" s="6" t="s">
        <v>305</v>
      </c>
      <c r="C229" s="46"/>
      <c r="D229" s="2"/>
      <c r="E229" s="225"/>
      <c r="F229" s="2"/>
      <c r="G229" s="2"/>
      <c r="H229" s="2"/>
      <c r="I229" s="2"/>
      <c r="J229" s="2"/>
      <c r="K229" s="2"/>
      <c r="L229" s="2"/>
    </row>
    <row x14ac:dyDescent="0.25" r="230" customHeight="1" ht="19.5">
      <c r="A230" s="229">
        <v>49</v>
      </c>
      <c r="B230" s="6" t="s">
        <v>306</v>
      </c>
      <c r="C230" s="46"/>
      <c r="D230" s="2"/>
      <c r="E230" s="225"/>
      <c r="F230" s="2"/>
      <c r="G230" s="2"/>
      <c r="H230" s="2"/>
      <c r="I230" s="2"/>
      <c r="J230" s="2"/>
      <c r="K230" s="2"/>
      <c r="L230" s="2"/>
    </row>
    <row x14ac:dyDescent="0.25" r="231" customHeight="1" ht="19.5">
      <c r="A231" s="229">
        <v>50</v>
      </c>
      <c r="B231" s="6" t="s">
        <v>307</v>
      </c>
      <c r="C231" s="46"/>
      <c r="D231" s="2"/>
      <c r="E231" s="225"/>
      <c r="F231" s="2"/>
      <c r="G231" s="2"/>
      <c r="H231" s="2"/>
      <c r="I231" s="2"/>
      <c r="J231" s="2"/>
      <c r="K231" s="2"/>
      <c r="L231" s="2"/>
    </row>
    <row x14ac:dyDescent="0.25" r="232" customHeight="1" ht="19.5">
      <c r="A232" s="229">
        <v>51</v>
      </c>
      <c r="B232" s="6" t="s">
        <v>308</v>
      </c>
      <c r="C232" s="46"/>
      <c r="D232" s="2"/>
      <c r="E232" s="225"/>
      <c r="F232" s="2"/>
      <c r="G232" s="2"/>
      <c r="H232" s="2"/>
      <c r="I232" s="2"/>
      <c r="J232" s="2"/>
      <c r="K232" s="2"/>
      <c r="L232" s="2"/>
    </row>
    <row x14ac:dyDescent="0.25" r="233" customHeight="1" ht="19.5">
      <c r="A233" s="229">
        <v>52</v>
      </c>
      <c r="B233" s="6" t="s">
        <v>309</v>
      </c>
      <c r="C233" s="46"/>
      <c r="D233" s="2"/>
      <c r="E233" s="225"/>
      <c r="F233" s="2"/>
      <c r="G233" s="2"/>
      <c r="H233" s="2"/>
      <c r="I233" s="2"/>
      <c r="J233" s="2"/>
      <c r="K233" s="2"/>
      <c r="L233" s="2"/>
    </row>
    <row x14ac:dyDescent="0.25" r="234" customHeight="1" ht="19.5">
      <c r="A234" s="229">
        <v>53</v>
      </c>
      <c r="B234" s="6" t="s">
        <v>310</v>
      </c>
      <c r="C234" s="46"/>
      <c r="D234" s="2"/>
      <c r="E234" s="225"/>
      <c r="F234" s="2"/>
      <c r="G234" s="2"/>
      <c r="H234" s="2"/>
      <c r="I234" s="2"/>
      <c r="J234" s="2"/>
      <c r="K234" s="2"/>
      <c r="L234" s="2"/>
    </row>
    <row x14ac:dyDescent="0.25" r="235" customHeight="1" ht="19.5">
      <c r="A235" s="229">
        <v>54</v>
      </c>
      <c r="B235" s="6" t="s">
        <v>311</v>
      </c>
      <c r="C235" s="46"/>
      <c r="D235" s="2"/>
      <c r="E235" s="225"/>
      <c r="F235" s="2"/>
      <c r="G235" s="2"/>
      <c r="H235" s="2"/>
      <c r="I235" s="2"/>
      <c r="J235" s="2"/>
      <c r="K235" s="2"/>
      <c r="L235" s="2"/>
    </row>
    <row x14ac:dyDescent="0.25" r="236" customHeight="1" ht="19.5">
      <c r="A236" s="229">
        <v>55</v>
      </c>
      <c r="B236" s="6" t="s">
        <v>312</v>
      </c>
      <c r="C236" s="46"/>
      <c r="D236" s="2"/>
      <c r="E236" s="225"/>
      <c r="F236" s="2"/>
      <c r="G236" s="2"/>
      <c r="H236" s="2"/>
      <c r="I236" s="2"/>
      <c r="J236" s="2"/>
      <c r="K236" s="2"/>
      <c r="L236" s="2"/>
    </row>
    <row x14ac:dyDescent="0.25" r="237" customHeight="1" ht="19.5">
      <c r="A237" s="229">
        <v>56</v>
      </c>
      <c r="B237" s="6" t="s">
        <v>313</v>
      </c>
      <c r="C237" s="46"/>
      <c r="D237" s="2"/>
      <c r="E237" s="225"/>
      <c r="F237" s="2"/>
      <c r="G237" s="2"/>
      <c r="H237" s="2"/>
      <c r="I237" s="2"/>
      <c r="J237" s="2"/>
      <c r="K237" s="2"/>
      <c r="L237" s="2"/>
    </row>
    <row x14ac:dyDescent="0.25" r="238" customHeight="1" ht="19.5">
      <c r="A238" s="229">
        <v>57</v>
      </c>
      <c r="B238" s="6" t="s">
        <v>314</v>
      </c>
      <c r="C238" s="46"/>
      <c r="D238" s="2"/>
      <c r="E238" s="225"/>
      <c r="F238" s="2"/>
      <c r="G238" s="2"/>
      <c r="H238" s="2"/>
      <c r="I238" s="2"/>
      <c r="J238" s="2"/>
      <c r="K238" s="2"/>
      <c r="L238" s="2"/>
    </row>
    <row x14ac:dyDescent="0.25" r="239" customHeight="1" ht="19.5">
      <c r="A239" s="229">
        <v>58</v>
      </c>
      <c r="B239" s="6" t="s">
        <v>315</v>
      </c>
      <c r="C239" s="46"/>
      <c r="D239" s="2"/>
      <c r="E239" s="225"/>
      <c r="F239" s="2"/>
      <c r="G239" s="2"/>
      <c r="H239" s="2"/>
      <c r="I239" s="2"/>
      <c r="J239" s="2"/>
      <c r="K239" s="2"/>
      <c r="L239" s="2"/>
    </row>
    <row x14ac:dyDescent="0.25" r="240" customHeight="1" ht="19.5">
      <c r="A240" s="229">
        <v>59</v>
      </c>
      <c r="B240" s="6" t="s">
        <v>316</v>
      </c>
      <c r="C240" s="46"/>
      <c r="D240" s="2"/>
      <c r="E240" s="225"/>
      <c r="F240" s="2"/>
      <c r="G240" s="2"/>
      <c r="H240" s="2"/>
      <c r="I240" s="2"/>
      <c r="J240" s="2"/>
      <c r="K240" s="2"/>
      <c r="L240" s="2"/>
    </row>
    <row x14ac:dyDescent="0.25" r="241" customHeight="1" ht="19.5">
      <c r="A241" s="229">
        <v>60</v>
      </c>
      <c r="B241" s="6" t="s">
        <v>317</v>
      </c>
      <c r="C241" s="46"/>
      <c r="D241" s="2"/>
      <c r="E241" s="225"/>
      <c r="F241" s="2"/>
      <c r="G241" s="2"/>
      <c r="H241" s="2"/>
      <c r="I241" s="2"/>
      <c r="J241" s="2"/>
      <c r="K241" s="2"/>
      <c r="L241" s="2"/>
    </row>
    <row x14ac:dyDescent="0.25" r="242" customHeight="1" ht="19.5">
      <c r="A242" s="229">
        <v>61</v>
      </c>
      <c r="B242" s="6" t="s">
        <v>318</v>
      </c>
      <c r="C242" s="46"/>
      <c r="D242" s="2"/>
      <c r="E242" s="225"/>
      <c r="F242" s="2"/>
      <c r="G242" s="2"/>
      <c r="H242" s="2"/>
      <c r="I242" s="2"/>
      <c r="J242" s="2"/>
      <c r="K242" s="2"/>
      <c r="L242" s="2"/>
    </row>
    <row x14ac:dyDescent="0.25" r="243" customHeight="1" ht="19.5">
      <c r="A243" s="229">
        <v>62</v>
      </c>
      <c r="B243" s="6" t="s">
        <v>319</v>
      </c>
      <c r="C243" s="46"/>
      <c r="D243" s="2"/>
      <c r="E243" s="225"/>
      <c r="F243" s="2"/>
      <c r="G243" s="2"/>
      <c r="H243" s="2"/>
      <c r="I243" s="2"/>
      <c r="J243" s="2"/>
      <c r="K243" s="2"/>
      <c r="L243" s="2"/>
    </row>
    <row x14ac:dyDescent="0.25" r="244" customHeight="1" ht="19.5">
      <c r="A244" s="229">
        <v>63</v>
      </c>
      <c r="B244" s="6" t="s">
        <v>320</v>
      </c>
      <c r="C244" s="46"/>
      <c r="D244" s="2"/>
      <c r="E244" s="225"/>
      <c r="F244" s="2"/>
      <c r="G244" s="2"/>
      <c r="H244" s="2"/>
      <c r="I244" s="2"/>
      <c r="J244" s="2"/>
      <c r="K244" s="2"/>
      <c r="L244" s="2"/>
    </row>
    <row x14ac:dyDescent="0.25" r="245" customHeight="1" ht="19.5">
      <c r="A245" s="229">
        <v>64</v>
      </c>
      <c r="B245" s="86" t="s">
        <v>321</v>
      </c>
      <c r="C245" s="46"/>
      <c r="D245" s="2"/>
      <c r="E245" s="225"/>
      <c r="F245" s="2"/>
      <c r="G245" s="2"/>
      <c r="H245" s="2"/>
      <c r="I245" s="2"/>
      <c r="J245" s="2"/>
      <c r="K245" s="2"/>
      <c r="L245" s="2"/>
    </row>
    <row x14ac:dyDescent="0.25" r="246" customHeight="1" ht="19.5">
      <c r="A246" s="229">
        <v>65</v>
      </c>
      <c r="B246" s="6" t="s">
        <v>322</v>
      </c>
      <c r="C246" s="46"/>
      <c r="D246" s="2"/>
      <c r="E246" s="225"/>
      <c r="F246" s="2"/>
      <c r="G246" s="2"/>
      <c r="H246" s="2"/>
      <c r="I246" s="2"/>
      <c r="J246" s="2"/>
      <c r="K246" s="2"/>
      <c r="L246" s="2"/>
    </row>
    <row x14ac:dyDescent="0.25" r="247" customHeight="1" ht="19.5">
      <c r="A247" s="229">
        <v>66</v>
      </c>
      <c r="B247" s="6" t="s">
        <v>323</v>
      </c>
      <c r="C247" s="46"/>
      <c r="D247" s="2"/>
      <c r="E247" s="225"/>
      <c r="F247" s="2"/>
      <c r="G247" s="2"/>
      <c r="H247" s="2"/>
      <c r="I247" s="2"/>
      <c r="J247" s="2"/>
      <c r="K247" s="2"/>
      <c r="L247" s="2"/>
    </row>
    <row x14ac:dyDescent="0.25" r="248" customHeight="1" ht="19.5">
      <c r="A248" s="229">
        <v>67</v>
      </c>
      <c r="B248" s="6" t="s">
        <v>324</v>
      </c>
      <c r="C248" s="46"/>
      <c r="D248" s="2"/>
      <c r="E248" s="225"/>
      <c r="F248" s="2"/>
      <c r="G248" s="2"/>
      <c r="H248" s="2"/>
      <c r="I248" s="2"/>
      <c r="J248" s="2"/>
      <c r="K248" s="2"/>
      <c r="L248" s="2"/>
    </row>
    <row x14ac:dyDescent="0.25" r="249" customHeight="1" ht="19.5">
      <c r="A249" s="196"/>
      <c r="B249" s="2"/>
      <c r="C249" s="231"/>
      <c r="D249" s="2"/>
      <c r="E249" s="196"/>
      <c r="F249" s="2"/>
      <c r="G249" s="2"/>
      <c r="H249" s="2"/>
      <c r="I249" s="2"/>
      <c r="J249" s="2"/>
      <c r="K249" s="2"/>
      <c r="L249" s="2"/>
    </row>
    <row x14ac:dyDescent="0.25" r="250" customHeight="1" ht="19.5">
      <c r="A250" s="196"/>
      <c r="B250" s="2"/>
      <c r="C250" s="231"/>
      <c r="D250" s="2"/>
      <c r="E250" s="196"/>
      <c r="F250" s="2"/>
      <c r="G250" s="2"/>
      <c r="H250" s="2"/>
      <c r="I250" s="2"/>
      <c r="J250" s="2"/>
      <c r="K250" s="2"/>
      <c r="L250" s="2"/>
    </row>
    <row x14ac:dyDescent="0.25" r="251" customHeight="1" ht="19.5">
      <c r="A251" s="196"/>
      <c r="B251" s="2"/>
      <c r="C251" s="231"/>
      <c r="D251" s="2"/>
      <c r="E251" s="196"/>
      <c r="F251" s="2"/>
      <c r="G251" s="2"/>
      <c r="H251" s="2"/>
      <c r="I251" s="2"/>
      <c r="J251" s="2"/>
      <c r="K251" s="2"/>
      <c r="L251" s="2"/>
    </row>
    <row x14ac:dyDescent="0.25" r="252" customHeight="1" ht="19.5">
      <c r="A252" s="196"/>
      <c r="B252" s="2"/>
      <c r="C252" s="231"/>
      <c r="D252" s="2"/>
      <c r="E252" s="196"/>
      <c r="F252" s="2"/>
      <c r="G252" s="2"/>
      <c r="H252" s="2"/>
      <c r="I252" s="2"/>
      <c r="J252" s="2"/>
      <c r="K252" s="2"/>
      <c r="L252" s="2"/>
    </row>
    <row x14ac:dyDescent="0.25" r="253" customHeight="1" ht="19.5">
      <c r="A253" s="196"/>
      <c r="B253" s="2"/>
      <c r="C253" s="231"/>
      <c r="D253" s="2"/>
      <c r="E253" s="196"/>
      <c r="F253" s="2"/>
      <c r="G253" s="2"/>
      <c r="H253" s="2"/>
      <c r="I253" s="2"/>
      <c r="J253" s="2"/>
      <c r="K253" s="2"/>
      <c r="L253" s="2"/>
    </row>
    <row x14ac:dyDescent="0.25" r="254" customHeight="1" ht="19.5">
      <c r="A254" s="196"/>
      <c r="B254" s="2"/>
      <c r="C254" s="231"/>
      <c r="D254" s="2"/>
      <c r="E254" s="196"/>
      <c r="F254" s="2"/>
      <c r="G254" s="2"/>
      <c r="H254" s="2"/>
      <c r="I254" s="2"/>
      <c r="J254" s="2"/>
      <c r="K254" s="2"/>
      <c r="L254" s="2"/>
    </row>
    <row x14ac:dyDescent="0.25" r="255" customHeight="1" ht="19.5">
      <c r="A255" s="196"/>
      <c r="B255" s="2"/>
      <c r="C255" s="231"/>
      <c r="D255" s="2"/>
      <c r="E255" s="196"/>
      <c r="F255" s="2"/>
      <c r="G255" s="2"/>
      <c r="H255" s="2"/>
      <c r="I255" s="2"/>
      <c r="J255" s="2"/>
      <c r="K255" s="2"/>
      <c r="L255" s="2"/>
    </row>
    <row x14ac:dyDescent="0.25" r="256" customHeight="1" ht="19.5">
      <c r="A256" s="196"/>
      <c r="B256" s="2"/>
      <c r="C256" s="231"/>
      <c r="D256" s="2"/>
      <c r="E256" s="196"/>
      <c r="F256" s="2"/>
      <c r="G256" s="2"/>
      <c r="H256" s="2"/>
      <c r="I256" s="2"/>
      <c r="J256" s="2"/>
      <c r="K256" s="2"/>
      <c r="L256" s="2"/>
    </row>
    <row x14ac:dyDescent="0.25" r="257" customHeight="1" ht="19.5">
      <c r="A257" s="196"/>
      <c r="B257" s="2"/>
      <c r="C257" s="231"/>
      <c r="D257" s="2"/>
      <c r="E257" s="196"/>
      <c r="F257" s="2"/>
      <c r="G257" s="2"/>
      <c r="H257" s="2"/>
      <c r="I257" s="2"/>
      <c r="J257" s="2"/>
      <c r="K257" s="2"/>
      <c r="L257" s="2"/>
    </row>
    <row x14ac:dyDescent="0.25" r="258" customHeight="1" ht="19.5">
      <c r="A258" s="196"/>
      <c r="B258" s="2"/>
      <c r="C258" s="231"/>
      <c r="D258" s="2"/>
      <c r="E258" s="196"/>
      <c r="F258" s="2"/>
      <c r="G258" s="2"/>
      <c r="H258" s="2"/>
      <c r="I258" s="2"/>
      <c r="J258" s="2"/>
      <c r="K258" s="2"/>
      <c r="L258" s="2"/>
    </row>
    <row x14ac:dyDescent="0.25" r="259" customHeight="1" ht="19.5">
      <c r="A259" s="196"/>
      <c r="B259" s="2"/>
      <c r="C259" s="231"/>
      <c r="D259" s="2"/>
      <c r="E259" s="196"/>
      <c r="F259" s="2"/>
      <c r="G259" s="2"/>
      <c r="H259" s="2"/>
      <c r="I259" s="2"/>
      <c r="J259" s="2"/>
      <c r="K259" s="2"/>
      <c r="L259" s="2"/>
    </row>
    <row x14ac:dyDescent="0.25" r="260" customHeight="1" ht="19.5">
      <c r="A260" s="196"/>
      <c r="B260" s="2"/>
      <c r="C260" s="231"/>
      <c r="D260" s="2"/>
      <c r="E260" s="196"/>
      <c r="F260" s="2"/>
      <c r="G260" s="2"/>
      <c r="H260" s="2"/>
      <c r="I260" s="2"/>
      <c r="J260" s="2"/>
      <c r="K260" s="2"/>
      <c r="L260" s="2"/>
    </row>
    <row x14ac:dyDescent="0.25" r="261" customHeight="1" ht="19.5">
      <c r="A261" s="196"/>
      <c r="B261" s="2"/>
      <c r="C261" s="231"/>
      <c r="D261" s="2"/>
      <c r="E261" s="196"/>
      <c r="F261" s="2"/>
      <c r="G261" s="2"/>
      <c r="H261" s="2"/>
      <c r="I261" s="2"/>
      <c r="J261" s="2"/>
      <c r="K261" s="2"/>
      <c r="L261" s="2"/>
    </row>
    <row x14ac:dyDescent="0.25" r="262" customHeight="1" ht="19.5">
      <c r="A262" s="196"/>
      <c r="B262" s="2"/>
      <c r="C262" s="231"/>
      <c r="D262" s="2"/>
      <c r="E262" s="196"/>
      <c r="F262" s="2"/>
      <c r="G262" s="2"/>
      <c r="H262" s="2"/>
      <c r="I262" s="2"/>
      <c r="J262" s="2"/>
      <c r="K262" s="2"/>
      <c r="L262" s="2"/>
    </row>
    <row x14ac:dyDescent="0.25" r="263" customHeight="1" ht="19.5">
      <c r="A263" s="196"/>
      <c r="B263" s="2"/>
      <c r="C263" s="231"/>
      <c r="D263" s="2"/>
      <c r="E263" s="196"/>
      <c r="F263" s="2"/>
      <c r="G263" s="2"/>
      <c r="H263" s="2"/>
      <c r="I263" s="2"/>
      <c r="J263" s="2"/>
      <c r="K263" s="2"/>
      <c r="L263" s="2"/>
    </row>
    <row x14ac:dyDescent="0.25" r="264" customHeight="1" ht="19.5">
      <c r="A264" s="196"/>
      <c r="B264" s="2"/>
      <c r="C264" s="231"/>
      <c r="D264" s="2"/>
      <c r="E264" s="196"/>
      <c r="F264" s="2"/>
      <c r="G264" s="2"/>
      <c r="H264" s="2"/>
      <c r="I264" s="2"/>
      <c r="J264" s="2"/>
      <c r="K264" s="2"/>
      <c r="L264" s="2"/>
    </row>
    <row x14ac:dyDescent="0.25" r="265" customHeight="1" ht="19.5">
      <c r="A265" s="196"/>
      <c r="B265" s="2"/>
      <c r="C265" s="231"/>
      <c r="D265" s="2"/>
      <c r="E265" s="196"/>
      <c r="F265" s="2"/>
      <c r="G265" s="2"/>
      <c r="H265" s="2"/>
      <c r="I265" s="2"/>
      <c r="J265" s="2"/>
      <c r="K265" s="2"/>
      <c r="L265" s="2"/>
    </row>
    <row x14ac:dyDescent="0.25" r="266" customHeight="1" ht="19.5">
      <c r="A266" s="196"/>
      <c r="B266" s="2"/>
      <c r="C266" s="231"/>
      <c r="D266" s="2"/>
      <c r="E266" s="196"/>
      <c r="F266" s="2"/>
      <c r="G266" s="2"/>
      <c r="H266" s="2"/>
      <c r="I266" s="2"/>
      <c r="J266" s="2"/>
      <c r="K266" s="2"/>
      <c r="L266" s="2"/>
    </row>
    <row x14ac:dyDescent="0.25" r="267" customHeight="1" ht="19.5">
      <c r="A267" s="196"/>
      <c r="B267" s="2"/>
      <c r="C267" s="231"/>
      <c r="D267" s="2"/>
      <c r="E267" s="196"/>
      <c r="F267" s="2"/>
      <c r="G267" s="2"/>
      <c r="H267" s="2"/>
      <c r="I267" s="2"/>
      <c r="J267" s="2"/>
      <c r="K267" s="2"/>
      <c r="L267" s="2"/>
    </row>
    <row x14ac:dyDescent="0.25" r="268" customHeight="1" ht="19.5">
      <c r="A268" s="196"/>
      <c r="B268" s="2"/>
      <c r="C268" s="231"/>
      <c r="D268" s="2"/>
      <c r="E268" s="196"/>
      <c r="F268" s="2"/>
      <c r="G268" s="2"/>
      <c r="H268" s="2"/>
      <c r="I268" s="2"/>
      <c r="J268" s="2"/>
      <c r="K268" s="2"/>
      <c r="L268" s="2"/>
    </row>
    <row x14ac:dyDescent="0.25" r="269" customHeight="1" ht="19.5">
      <c r="A269" s="196"/>
      <c r="B269" s="2"/>
      <c r="C269" s="231"/>
      <c r="D269" s="2"/>
      <c r="E269" s="196"/>
      <c r="F269" s="2"/>
      <c r="G269" s="2"/>
      <c r="H269" s="2"/>
      <c r="I269" s="2"/>
      <c r="J269" s="2"/>
      <c r="K269" s="2"/>
      <c r="L269" s="2"/>
    </row>
    <row x14ac:dyDescent="0.25" r="270" customHeight="1" ht="19.5">
      <c r="A270" s="196"/>
      <c r="B270" s="2"/>
      <c r="C270" s="231"/>
      <c r="D270" s="2"/>
      <c r="E270" s="196"/>
      <c r="F270" s="2"/>
      <c r="G270" s="2"/>
      <c r="H270" s="2"/>
      <c r="I270" s="2"/>
      <c r="J270" s="2"/>
      <c r="K270" s="2"/>
      <c r="L270" s="2"/>
    </row>
    <row x14ac:dyDescent="0.25" r="271" customHeight="1" ht="19.5">
      <c r="A271" s="196"/>
      <c r="B271" s="2"/>
      <c r="C271" s="231"/>
      <c r="D271" s="2"/>
      <c r="E271" s="196"/>
      <c r="F271" s="2"/>
      <c r="G271" s="2"/>
      <c r="H271" s="2"/>
      <c r="I271" s="2"/>
      <c r="J271" s="2"/>
      <c r="K271" s="2"/>
      <c r="L271" s="2"/>
    </row>
    <row x14ac:dyDescent="0.25" r="272" customHeight="1" ht="19.5">
      <c r="A272" s="196"/>
      <c r="B272" s="2"/>
      <c r="C272" s="231"/>
      <c r="D272" s="2"/>
      <c r="E272" s="196"/>
      <c r="F272" s="2"/>
      <c r="G272" s="2"/>
      <c r="H272" s="2"/>
      <c r="I272" s="2"/>
      <c r="J272" s="2"/>
      <c r="K272" s="2"/>
      <c r="L272" s="2"/>
    </row>
    <row x14ac:dyDescent="0.25" r="273" customHeight="1" ht="19.5">
      <c r="A273" s="196"/>
      <c r="B273" s="2"/>
      <c r="C273" s="231"/>
      <c r="D273" s="2"/>
      <c r="E273" s="196"/>
      <c r="F273" s="2"/>
      <c r="G273" s="2"/>
      <c r="H273" s="2"/>
      <c r="I273" s="2"/>
      <c r="J273" s="2"/>
      <c r="K273" s="2"/>
      <c r="L273" s="2"/>
    </row>
    <row x14ac:dyDescent="0.25" r="274" customHeight="1" ht="19.5">
      <c r="A274" s="196"/>
      <c r="B274" s="2"/>
      <c r="C274" s="231"/>
      <c r="D274" s="2"/>
      <c r="E274" s="196"/>
      <c r="F274" s="2"/>
      <c r="G274" s="2"/>
      <c r="H274" s="2"/>
      <c r="I274" s="2"/>
      <c r="J274" s="2"/>
      <c r="K274" s="2"/>
      <c r="L274" s="2"/>
    </row>
    <row x14ac:dyDescent="0.25" r="275" customHeight="1" ht="19.5">
      <c r="A275" s="196"/>
      <c r="B275" s="2"/>
      <c r="C275" s="231"/>
      <c r="D275" s="2"/>
      <c r="E275" s="196"/>
      <c r="F275" s="2"/>
      <c r="G275" s="2"/>
      <c r="H275" s="2"/>
      <c r="I275" s="2"/>
      <c r="J275" s="2"/>
      <c r="K275" s="2"/>
      <c r="L275" s="2"/>
    </row>
    <row x14ac:dyDescent="0.25" r="276" customHeight="1" ht="19.5">
      <c r="A276" s="196"/>
      <c r="B276" s="2"/>
      <c r="C276" s="231"/>
      <c r="D276" s="2"/>
      <c r="E276" s="196"/>
      <c r="F276" s="2"/>
      <c r="G276" s="2"/>
      <c r="H276" s="2"/>
      <c r="I276" s="2"/>
      <c r="J276" s="2"/>
      <c r="K276" s="2"/>
      <c r="L276" s="2"/>
    </row>
    <row x14ac:dyDescent="0.25" r="277" customHeight="1" ht="19.5">
      <c r="A277" s="196"/>
      <c r="B277" s="2"/>
      <c r="C277" s="231"/>
      <c r="D277" s="2"/>
      <c r="E277" s="196"/>
      <c r="F277" s="2"/>
      <c r="G277" s="2"/>
      <c r="H277" s="2"/>
      <c r="I277" s="2"/>
      <c r="J277" s="2"/>
      <c r="K277" s="2"/>
      <c r="L277" s="2"/>
    </row>
    <row x14ac:dyDescent="0.25" r="278" customHeight="1" ht="19.5">
      <c r="A278" s="196"/>
      <c r="B278" s="2"/>
      <c r="C278" s="231"/>
      <c r="D278" s="2"/>
      <c r="E278" s="196"/>
      <c r="F278" s="2"/>
      <c r="G278" s="2"/>
      <c r="H278" s="2"/>
      <c r="I278" s="2"/>
      <c r="J278" s="2"/>
      <c r="K278" s="2"/>
      <c r="L278" s="2"/>
    </row>
    <row x14ac:dyDescent="0.25" r="279" customHeight="1" ht="19.5">
      <c r="A279" s="196"/>
      <c r="B279" s="2"/>
      <c r="C279" s="231"/>
      <c r="D279" s="2"/>
      <c r="E279" s="196"/>
      <c r="F279" s="2"/>
      <c r="G279" s="2"/>
      <c r="H279" s="2"/>
      <c r="I279" s="2"/>
      <c r="J279" s="2"/>
      <c r="K279" s="2"/>
      <c r="L279" s="2"/>
    </row>
    <row x14ac:dyDescent="0.25" r="280" customHeight="1" ht="19.5">
      <c r="A280" s="196"/>
      <c r="B280" s="2"/>
      <c r="C280" s="231"/>
      <c r="D280" s="2"/>
      <c r="E280" s="196"/>
      <c r="F280" s="2"/>
      <c r="G280" s="2"/>
      <c r="H280" s="2"/>
      <c r="I280" s="2"/>
      <c r="J280" s="2"/>
      <c r="K280" s="2"/>
      <c r="L280" s="2"/>
    </row>
    <row x14ac:dyDescent="0.25" r="281" customHeight="1" ht="19.5">
      <c r="A281" s="196"/>
      <c r="B281" s="2"/>
      <c r="C281" s="231"/>
      <c r="D281" s="2"/>
      <c r="E281" s="196"/>
      <c r="F281" s="2"/>
      <c r="G281" s="2"/>
      <c r="H281" s="2"/>
      <c r="I281" s="2"/>
      <c r="J281" s="2"/>
      <c r="K281" s="2"/>
      <c r="L281" s="2"/>
    </row>
    <row x14ac:dyDescent="0.25" r="282" customHeight="1" ht="19.5">
      <c r="A282" s="196"/>
      <c r="B282" s="2"/>
      <c r="C282" s="231"/>
      <c r="D282" s="2"/>
      <c r="E282" s="196"/>
      <c r="F282" s="2"/>
      <c r="G282" s="2"/>
      <c r="H282" s="2"/>
      <c r="I282" s="2"/>
      <c r="J282" s="2"/>
      <c r="K282" s="2"/>
      <c r="L2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3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4.2907142857142855" customWidth="1" bestFit="1"/>
    <col min="2" max="2" style="73" width="13.719285714285713" customWidth="1" bestFit="1"/>
    <col min="3" max="3" style="73" width="14.290714285714287" customWidth="1" bestFit="1"/>
    <col min="4" max="4" style="73" width="10.576428571428572" customWidth="1" bestFit="1"/>
    <col min="5" max="5" style="73" width="11.862142857142858" customWidth="1" bestFit="1"/>
    <col min="6" max="6" style="193" width="14.290714285714287" customWidth="1" bestFit="1"/>
    <col min="7" max="7" style="73" width="11.147857142857141" customWidth="1" bestFit="1"/>
    <col min="8" max="8" style="73" width="8.862142857142858" customWidth="1" bestFit="1"/>
    <col min="9" max="9" style="73" width="8.862142857142858" customWidth="1" bestFit="1"/>
    <col min="10" max="10" style="73" width="8.862142857142858" customWidth="1" bestFit="1"/>
    <col min="11" max="11" style="193" width="17.290714285714284" customWidth="1" bestFit="1"/>
    <col min="12" max="12" style="73" width="12.719285714285713" customWidth="1" bestFit="1"/>
    <col min="13" max="13" style="73" width="8.005" customWidth="1" bestFit="1"/>
    <col min="14" max="14" style="73" width="12.290714285714287" customWidth="1" bestFit="1"/>
    <col min="15" max="15" style="193" width="11.719285714285713" customWidth="1" bestFit="1"/>
    <col min="16" max="16" style="73" width="11.719285714285713" customWidth="1" bestFit="1"/>
    <col min="17" max="17" style="73" width="8.862142857142858" customWidth="1" bestFit="1"/>
    <col min="18" max="18" style="73" width="8.862142857142858" customWidth="1" bestFit="1"/>
    <col min="19" max="19" style="73" width="8.862142857142858" customWidth="1" bestFit="1"/>
    <col min="20" max="20" style="73" width="12.719285714285713" customWidth="1" bestFit="1"/>
    <col min="21" max="21" style="193" width="8.862142857142858" customWidth="1" bestFit="1"/>
    <col min="22" max="22" style="73" width="11.290714285714287" customWidth="1" bestFit="1"/>
    <col min="23" max="23" style="73" width="8.862142857142858" customWidth="1" bestFit="1"/>
    <col min="24" max="24" style="73" width="8.862142857142858" customWidth="1" bestFit="1"/>
    <col min="25" max="25" style="193" width="8.862142857142858" customWidth="1" bestFit="1"/>
    <col min="26" max="26" style="73" width="11.290714285714287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</cols>
  <sheetData>
    <row x14ac:dyDescent="0.25" r="1" customHeight="1" ht="18.6">
      <c r="A1" s="1" t="s">
        <v>0</v>
      </c>
      <c r="B1" s="2"/>
      <c r="C1" s="2"/>
      <c r="D1" s="2"/>
      <c r="E1" s="2"/>
      <c r="F1" s="75"/>
      <c r="G1" s="2"/>
      <c r="H1" s="2"/>
      <c r="I1" s="2"/>
      <c r="J1" s="2"/>
      <c r="K1" s="75"/>
      <c r="L1" s="2"/>
      <c r="M1" s="2"/>
      <c r="N1" s="2"/>
      <c r="O1" s="75"/>
      <c r="P1" s="2"/>
      <c r="Q1" s="2"/>
      <c r="R1" s="2"/>
      <c r="S1" s="2"/>
      <c r="T1" s="2"/>
      <c r="U1" s="75"/>
      <c r="V1" s="2"/>
      <c r="W1" s="2"/>
      <c r="X1" s="2"/>
      <c r="Y1" s="75"/>
      <c r="Z1" s="2"/>
      <c r="AA1" s="2"/>
      <c r="AB1" s="2"/>
      <c r="AC1" s="2"/>
    </row>
    <row x14ac:dyDescent="0.25" r="2" customHeight="1" ht="16.95">
      <c r="A2" s="2"/>
      <c r="B2" s="2"/>
      <c r="C2" s="2"/>
      <c r="D2" s="2"/>
      <c r="E2" s="2"/>
      <c r="F2" s="75"/>
      <c r="G2" s="2"/>
      <c r="H2" s="2"/>
      <c r="I2" s="2"/>
      <c r="J2" s="2"/>
      <c r="K2" s="75"/>
      <c r="L2" s="2"/>
      <c r="M2" s="2"/>
      <c r="N2" s="2"/>
      <c r="O2" s="75"/>
      <c r="P2" s="2"/>
      <c r="Q2" s="6"/>
      <c r="R2" s="6"/>
      <c r="S2" s="2"/>
      <c r="T2" s="2"/>
      <c r="U2" s="75"/>
      <c r="V2" s="2"/>
      <c r="W2" s="2"/>
      <c r="X2" s="2"/>
      <c r="Y2" s="75"/>
      <c r="Z2" s="2"/>
      <c r="AA2" s="2"/>
      <c r="AB2" s="2"/>
      <c r="AC2" s="2"/>
    </row>
    <row x14ac:dyDescent="0.25" r="3" customHeight="1" ht="19.5">
      <c r="A3" s="2"/>
      <c r="B3" s="2"/>
      <c r="C3" s="2"/>
      <c r="D3" s="2"/>
      <c r="E3" s="2"/>
      <c r="F3" s="75"/>
      <c r="G3" s="2"/>
      <c r="H3" s="2"/>
      <c r="I3" s="2"/>
      <c r="J3" s="2"/>
      <c r="K3" s="75"/>
      <c r="L3" s="2"/>
      <c r="M3" s="2"/>
      <c r="N3" s="2"/>
      <c r="O3" s="75"/>
      <c r="P3" s="2"/>
      <c r="Q3" s="2"/>
      <c r="R3" s="2"/>
      <c r="S3" s="2"/>
      <c r="T3" s="2"/>
      <c r="U3" s="75"/>
      <c r="V3" s="2"/>
      <c r="W3" s="2"/>
      <c r="X3" s="2"/>
      <c r="Y3" s="75"/>
      <c r="Z3" s="2"/>
      <c r="AA3" s="2"/>
      <c r="AB3" s="2"/>
      <c r="AC3" s="2"/>
    </row>
    <row x14ac:dyDescent="0.25" r="4" customHeight="1" ht="19.5">
      <c r="A4" s="2"/>
      <c r="B4" s="2"/>
      <c r="C4" s="2"/>
      <c r="D4" s="2"/>
      <c r="E4" s="2"/>
      <c r="F4" s="75"/>
      <c r="G4" s="2"/>
      <c r="H4" s="2"/>
      <c r="I4" s="2"/>
      <c r="J4" s="2"/>
      <c r="K4" s="75"/>
      <c r="L4" s="2"/>
      <c r="M4" s="2"/>
      <c r="N4" s="2"/>
      <c r="O4" s="75"/>
      <c r="P4" s="2"/>
      <c r="Q4" s="2"/>
      <c r="R4" s="2"/>
      <c r="S4" s="2"/>
      <c r="T4" s="2"/>
      <c r="U4" s="75"/>
      <c r="V4" s="2"/>
      <c r="W4" s="2"/>
      <c r="X4" s="2"/>
      <c r="Y4" s="75"/>
      <c r="Z4" s="2"/>
      <c r="AA4" s="2"/>
      <c r="AB4" s="2"/>
      <c r="AC4" s="2"/>
    </row>
    <row x14ac:dyDescent="0.25" r="5" customHeight="1" ht="19.5">
      <c r="A5" s="2"/>
      <c r="B5" s="2"/>
      <c r="C5" s="2"/>
      <c r="D5" s="2"/>
      <c r="E5" s="2"/>
      <c r="F5" s="75"/>
      <c r="G5" s="2"/>
      <c r="H5" s="2"/>
      <c r="I5" s="2"/>
      <c r="J5" s="2"/>
      <c r="K5" s="75"/>
      <c r="L5" s="2"/>
      <c r="M5" s="2"/>
      <c r="N5" s="2"/>
      <c r="O5" s="75"/>
      <c r="P5" s="2"/>
      <c r="Q5" s="2"/>
      <c r="R5" s="2"/>
      <c r="S5" s="2"/>
      <c r="T5" s="2"/>
      <c r="U5" s="75"/>
      <c r="V5" s="2"/>
      <c r="W5" s="2"/>
      <c r="X5" s="2"/>
      <c r="Y5" s="75"/>
      <c r="Z5" s="2"/>
      <c r="AA5" s="2"/>
      <c r="AB5" s="2"/>
      <c r="AC5" s="2"/>
    </row>
    <row x14ac:dyDescent="0.25" r="6" customHeight="1" ht="19.5">
      <c r="A6" s="2"/>
      <c r="B6" s="2"/>
      <c r="C6" s="2"/>
      <c r="D6" s="2"/>
      <c r="E6" s="2"/>
      <c r="F6" s="75"/>
      <c r="G6" s="2"/>
      <c r="H6" s="2"/>
      <c r="I6" s="6" t="s">
        <v>35</v>
      </c>
      <c r="J6" s="2"/>
      <c r="K6" s="75"/>
      <c r="L6" s="2"/>
      <c r="M6" s="2"/>
      <c r="N6" s="2"/>
      <c r="O6" s="75"/>
      <c r="P6" s="2"/>
      <c r="Q6" s="2"/>
      <c r="R6" s="2"/>
      <c r="S6" s="2"/>
      <c r="T6" s="2"/>
      <c r="U6" s="75"/>
      <c r="V6" s="2"/>
      <c r="W6" s="2"/>
      <c r="X6" s="2"/>
      <c r="Y6" s="75"/>
      <c r="Z6" s="2"/>
      <c r="AA6" s="2"/>
      <c r="AB6" s="2"/>
      <c r="AC6" s="2"/>
    </row>
    <row x14ac:dyDescent="0.25" r="7" customHeight="1" ht="19.5">
      <c r="A7" s="2"/>
      <c r="B7" s="2"/>
      <c r="C7" s="2"/>
      <c r="D7" s="2"/>
      <c r="E7" s="2"/>
      <c r="F7" s="75"/>
      <c r="G7" s="2"/>
      <c r="H7" s="2"/>
      <c r="I7" s="2"/>
      <c r="J7" s="2"/>
      <c r="K7" s="75"/>
      <c r="L7" s="2"/>
      <c r="M7" s="2"/>
      <c r="N7" s="2"/>
      <c r="O7" s="75"/>
      <c r="P7" s="2"/>
      <c r="Q7" s="2"/>
      <c r="R7" s="2"/>
      <c r="S7" s="2"/>
      <c r="T7" s="2"/>
      <c r="U7" s="75"/>
      <c r="V7" s="2"/>
      <c r="W7" s="2"/>
      <c r="X7" s="2"/>
      <c r="Y7" s="75"/>
      <c r="Z7" s="2"/>
      <c r="AA7" s="2"/>
      <c r="AB7" s="2"/>
      <c r="AC7" s="2"/>
    </row>
    <row x14ac:dyDescent="0.25" r="8" customHeight="1" ht="19.5">
      <c r="A8" s="2"/>
      <c r="B8" s="2"/>
      <c r="C8" s="2"/>
      <c r="D8" s="2"/>
      <c r="E8" s="2"/>
      <c r="F8" s="75"/>
      <c r="G8" s="2"/>
      <c r="H8" s="2"/>
      <c r="I8" s="2"/>
      <c r="J8" s="2"/>
      <c r="K8" s="75"/>
      <c r="L8" s="2"/>
      <c r="M8" s="2"/>
      <c r="N8" s="2"/>
      <c r="O8" s="75"/>
      <c r="P8" s="2"/>
      <c r="Q8" s="2"/>
      <c r="R8" s="2"/>
      <c r="S8" s="2"/>
      <c r="T8" s="2"/>
      <c r="U8" s="75"/>
      <c r="V8" s="2"/>
      <c r="W8" s="2"/>
      <c r="X8" s="2"/>
      <c r="Y8" s="75"/>
      <c r="Z8" s="2"/>
      <c r="AA8" s="2"/>
      <c r="AB8" s="2"/>
      <c r="AC8" s="2"/>
    </row>
    <row x14ac:dyDescent="0.25" r="9" customHeight="1" ht="19.5">
      <c r="A9" s="2"/>
      <c r="B9" s="2"/>
      <c r="C9" s="2"/>
      <c r="D9" s="2"/>
      <c r="E9" s="2"/>
      <c r="F9" s="75"/>
      <c r="G9" s="2"/>
      <c r="H9" s="2"/>
      <c r="I9" s="2"/>
      <c r="J9" s="2"/>
      <c r="K9" s="75"/>
      <c r="L9" s="2"/>
      <c r="M9" s="2"/>
      <c r="N9" s="2"/>
      <c r="O9" s="75"/>
      <c r="P9" s="2"/>
      <c r="Q9" s="2"/>
      <c r="R9" s="2"/>
      <c r="S9" s="2"/>
      <c r="T9" s="2"/>
      <c r="U9" s="75"/>
      <c r="V9" s="2"/>
      <c r="W9" s="2"/>
      <c r="X9" s="2"/>
      <c r="Y9" s="75"/>
      <c r="Z9" s="2"/>
      <c r="AA9" s="2"/>
      <c r="AB9" s="2"/>
      <c r="AC9" s="2"/>
    </row>
    <row x14ac:dyDescent="0.25" r="10" customHeight="1" ht="19.5">
      <c r="A10" s="2"/>
      <c r="B10" s="2"/>
      <c r="C10" s="2"/>
      <c r="D10" s="2"/>
      <c r="E10" s="2"/>
      <c r="F10" s="75"/>
      <c r="G10" s="2"/>
      <c r="H10" s="2"/>
      <c r="I10" s="2"/>
      <c r="J10" s="2"/>
      <c r="K10" s="75"/>
      <c r="L10" s="2"/>
      <c r="M10" s="2"/>
      <c r="N10" s="2"/>
      <c r="O10" s="75"/>
      <c r="P10" s="2"/>
      <c r="Q10" s="2"/>
      <c r="R10" s="2"/>
      <c r="S10" s="2"/>
      <c r="T10" s="2"/>
      <c r="U10" s="75"/>
      <c r="V10" s="2"/>
      <c r="W10" s="2"/>
      <c r="X10" s="2"/>
      <c r="Y10" s="75"/>
      <c r="Z10" s="2"/>
      <c r="AA10" s="2"/>
      <c r="AB10" s="2"/>
      <c r="AC10" s="2"/>
    </row>
    <row x14ac:dyDescent="0.25" r="11" customHeight="1" ht="19.5">
      <c r="A11" s="2"/>
      <c r="B11" s="2"/>
      <c r="C11" s="2"/>
      <c r="D11" s="2"/>
      <c r="E11" s="2"/>
      <c r="F11" s="75"/>
      <c r="G11" s="2"/>
      <c r="H11" s="2"/>
      <c r="I11" s="2"/>
      <c r="J11" s="2"/>
      <c r="K11" s="75"/>
      <c r="L11" s="2"/>
      <c r="M11" s="2"/>
      <c r="N11" s="2"/>
      <c r="O11" s="75"/>
      <c r="P11" s="2"/>
      <c r="Q11" s="2"/>
      <c r="R11" s="2"/>
      <c r="S11" s="2"/>
      <c r="T11" s="2"/>
      <c r="U11" s="75"/>
      <c r="V11" s="2"/>
      <c r="W11" s="2"/>
      <c r="X11" s="2"/>
      <c r="Y11" s="75"/>
      <c r="Z11" s="2"/>
      <c r="AA11" s="2"/>
      <c r="AB11" s="2"/>
      <c r="AC11" s="2"/>
    </row>
    <row x14ac:dyDescent="0.25" r="12" customHeight="1" ht="19.5">
      <c r="A12" s="2"/>
      <c r="B12" s="2"/>
      <c r="C12" s="2"/>
      <c r="D12" s="2"/>
      <c r="E12" s="2"/>
      <c r="F12" s="75"/>
      <c r="G12" s="2"/>
      <c r="H12" s="2"/>
      <c r="I12" s="2"/>
      <c r="J12" s="2"/>
      <c r="K12" s="75"/>
      <c r="L12" s="2"/>
      <c r="M12" s="2"/>
      <c r="N12" s="2"/>
      <c r="O12" s="75"/>
      <c r="P12" s="2"/>
      <c r="Q12" s="2"/>
      <c r="R12" s="2"/>
      <c r="S12" s="2"/>
      <c r="T12" s="2"/>
      <c r="U12" s="75"/>
      <c r="V12" s="2"/>
      <c r="W12" s="2"/>
      <c r="X12" s="2"/>
      <c r="Y12" s="75"/>
      <c r="Z12" s="2"/>
      <c r="AA12" s="2"/>
      <c r="AB12" s="2"/>
      <c r="AC12" s="2"/>
    </row>
    <row x14ac:dyDescent="0.25" r="13" customHeight="1" ht="19.5">
      <c r="A13" s="2"/>
      <c r="B13" s="2"/>
      <c r="C13" s="2"/>
      <c r="D13" s="2"/>
      <c r="E13" s="2"/>
      <c r="F13" s="75"/>
      <c r="G13" s="2"/>
      <c r="H13" s="2"/>
      <c r="I13" s="2"/>
      <c r="J13" s="2"/>
      <c r="K13" s="75"/>
      <c r="L13" s="2"/>
      <c r="M13" s="2"/>
      <c r="N13" s="2"/>
      <c r="O13" s="75"/>
      <c r="P13" s="2"/>
      <c r="Q13" s="2"/>
      <c r="R13" s="2"/>
      <c r="S13" s="2"/>
      <c r="T13" s="2"/>
      <c r="U13" s="75"/>
      <c r="V13" s="2"/>
      <c r="W13" s="2"/>
      <c r="X13" s="2"/>
      <c r="Y13" s="75"/>
      <c r="Z13" s="2"/>
      <c r="AA13" s="2"/>
      <c r="AB13" s="2"/>
      <c r="AC13" s="2"/>
    </row>
    <row x14ac:dyDescent="0.25" r="14" customHeight="1" ht="19.5">
      <c r="A14" s="2"/>
      <c r="B14" s="2"/>
      <c r="C14" s="2"/>
      <c r="D14" s="2"/>
      <c r="E14" s="2"/>
      <c r="F14" s="75"/>
      <c r="G14" s="2"/>
      <c r="H14" s="2"/>
      <c r="I14" s="2"/>
      <c r="J14" s="2"/>
      <c r="K14" s="75"/>
      <c r="L14" s="2"/>
      <c r="M14" s="2"/>
      <c r="N14" s="2"/>
      <c r="O14" s="75"/>
      <c r="P14" s="2"/>
      <c r="Q14" s="2"/>
      <c r="R14" s="2"/>
      <c r="S14" s="2"/>
      <c r="T14" s="2"/>
      <c r="U14" s="75"/>
      <c r="V14" s="2"/>
      <c r="W14" s="2"/>
      <c r="X14" s="2"/>
      <c r="Y14" s="75"/>
      <c r="Z14" s="2"/>
      <c r="AA14" s="2"/>
      <c r="AB14" s="2"/>
      <c r="AC14" s="2"/>
    </row>
    <row x14ac:dyDescent="0.25" r="15" customHeight="1" ht="19.5">
      <c r="A15" s="2"/>
      <c r="B15" s="2"/>
      <c r="C15" s="2"/>
      <c r="D15" s="2"/>
      <c r="E15" s="2"/>
      <c r="F15" s="75"/>
      <c r="G15" s="2"/>
      <c r="H15" s="2"/>
      <c r="I15" s="2"/>
      <c r="J15" s="2"/>
      <c r="K15" s="75"/>
      <c r="L15" s="2"/>
      <c r="M15" s="2"/>
      <c r="N15" s="2"/>
      <c r="O15" s="75"/>
      <c r="P15" s="2"/>
      <c r="Q15" s="2"/>
      <c r="R15" s="2"/>
      <c r="S15" s="2"/>
      <c r="T15" s="2"/>
      <c r="U15" s="75"/>
      <c r="V15" s="2"/>
      <c r="W15" s="2"/>
      <c r="X15" s="2"/>
      <c r="Y15" s="75"/>
      <c r="Z15" s="2"/>
      <c r="AA15" s="2"/>
      <c r="AB15" s="2"/>
      <c r="AC15" s="2"/>
    </row>
    <row x14ac:dyDescent="0.25" r="16" customHeight="1" ht="19.5">
      <c r="A16" s="2"/>
      <c r="B16" s="2"/>
      <c r="C16" s="2"/>
      <c r="D16" s="2"/>
      <c r="E16" s="2"/>
      <c r="F16" s="75"/>
      <c r="G16" s="2"/>
      <c r="H16" s="2"/>
      <c r="I16" s="2"/>
      <c r="J16" s="2"/>
      <c r="K16" s="75"/>
      <c r="L16" s="2"/>
      <c r="M16" s="2"/>
      <c r="N16" s="2"/>
      <c r="O16" s="75"/>
      <c r="P16" s="2"/>
      <c r="Q16" s="2"/>
      <c r="R16" s="2"/>
      <c r="S16" s="2"/>
      <c r="T16" s="2"/>
      <c r="U16" s="75"/>
      <c r="V16" s="2"/>
      <c r="W16" s="2"/>
      <c r="X16" s="2"/>
      <c r="Y16" s="75"/>
      <c r="Z16" s="2"/>
      <c r="AA16" s="2"/>
      <c r="AB16" s="2"/>
      <c r="AC16" s="2"/>
    </row>
    <row x14ac:dyDescent="0.25" r="17" customHeight="1" ht="19.5">
      <c r="A17" s="2"/>
      <c r="B17" s="2"/>
      <c r="C17" s="2"/>
      <c r="D17" s="2"/>
      <c r="E17" s="2"/>
      <c r="F17" s="75"/>
      <c r="G17" s="2"/>
      <c r="H17" s="6"/>
      <c r="I17" s="6"/>
      <c r="J17" s="2"/>
      <c r="K17" s="75"/>
      <c r="L17" s="2"/>
      <c r="M17" s="2"/>
      <c r="N17" s="2"/>
      <c r="O17" s="75"/>
      <c r="P17" s="2"/>
      <c r="Q17" s="2"/>
      <c r="R17" s="2"/>
      <c r="S17" s="2"/>
      <c r="T17" s="2"/>
      <c r="U17" s="75"/>
      <c r="V17" s="2"/>
      <c r="W17" s="2"/>
      <c r="X17" s="2"/>
      <c r="Y17" s="75"/>
      <c r="Z17" s="2"/>
      <c r="AA17" s="2"/>
      <c r="AB17" s="2"/>
      <c r="AC17" s="2"/>
    </row>
    <row x14ac:dyDescent="0.25" r="18" customHeight="1" ht="19.5">
      <c r="A18" s="6"/>
      <c r="B18" s="2"/>
      <c r="C18" s="2"/>
      <c r="D18" s="2"/>
      <c r="E18" s="2"/>
      <c r="F18" s="75"/>
      <c r="G18" s="2"/>
      <c r="H18" s="6"/>
      <c r="I18" s="6"/>
      <c r="J18" s="2"/>
      <c r="K18" s="75"/>
      <c r="L18" s="2"/>
      <c r="M18" s="2"/>
      <c r="N18" s="2"/>
      <c r="O18" s="75"/>
      <c r="P18" s="2"/>
      <c r="Q18" s="2"/>
      <c r="R18" s="2"/>
      <c r="S18" s="2"/>
      <c r="T18" s="2"/>
      <c r="U18" s="75"/>
      <c r="V18" s="2"/>
      <c r="W18" s="6"/>
      <c r="X18" s="6"/>
      <c r="Y18" s="76"/>
      <c r="Z18" s="6"/>
      <c r="AA18" s="6"/>
      <c r="AB18" s="6"/>
      <c r="AC18" s="2"/>
    </row>
    <row x14ac:dyDescent="0.25" r="19" customHeight="1" ht="19.5">
      <c r="A19" s="2"/>
      <c r="B19" s="14">
        <f>Nykytila!D24</f>
      </c>
      <c r="C19" s="9"/>
      <c r="D19" s="9"/>
      <c r="E19" s="77"/>
      <c r="F19" s="78"/>
      <c r="G19" s="9"/>
      <c r="H19" s="2"/>
      <c r="I19" s="6"/>
      <c r="J19" s="2"/>
      <c r="K19" s="75"/>
      <c r="L19" s="2"/>
      <c r="M19" s="2"/>
      <c r="N19" s="2"/>
      <c r="O19" s="75"/>
      <c r="P19" s="2"/>
      <c r="Q19" s="2"/>
      <c r="R19" s="2"/>
      <c r="S19" s="2"/>
      <c r="T19" s="2"/>
      <c r="U19" s="75"/>
      <c r="V19" s="2"/>
      <c r="W19" s="6"/>
      <c r="X19" s="6"/>
      <c r="Y19" s="76"/>
      <c r="Z19" s="6"/>
      <c r="AA19" s="6"/>
      <c r="AB19" s="6"/>
      <c r="AC19" s="2"/>
    </row>
    <row x14ac:dyDescent="0.25" r="20" customHeight="1" ht="19.5">
      <c r="A20" s="2"/>
      <c r="B20" s="9"/>
      <c r="C20" s="9"/>
      <c r="D20" s="77"/>
      <c r="E20" s="9"/>
      <c r="F20" s="78"/>
      <c r="G20" s="9"/>
      <c r="H20" s="6"/>
      <c r="I20" s="6"/>
      <c r="J20" s="2"/>
      <c r="K20" s="79" t="s">
        <v>36</v>
      </c>
      <c r="L20" s="80"/>
      <c r="M20" s="81"/>
      <c r="N20" s="81"/>
      <c r="O20" s="82">
        <f>Liikenne!F47</f>
      </c>
      <c r="P20" s="83" t="s">
        <v>4</v>
      </c>
      <c r="Q20" s="2"/>
      <c r="R20" s="2"/>
      <c r="S20" s="2"/>
      <c r="T20" s="2"/>
      <c r="U20" s="75"/>
      <c r="V20" s="2"/>
      <c r="W20" s="6"/>
      <c r="X20" s="6"/>
      <c r="Y20" s="76"/>
      <c r="Z20" s="6"/>
      <c r="AA20" s="6"/>
      <c r="AB20" s="6"/>
      <c r="AC20" s="2"/>
    </row>
    <row x14ac:dyDescent="0.25" r="21" customHeight="1" ht="19.5">
      <c r="A21" s="2"/>
      <c r="B21" s="17" t="s">
        <v>1</v>
      </c>
      <c r="C21" s="84"/>
      <c r="D21" s="84"/>
      <c r="E21" s="17"/>
      <c r="F21" s="19">
        <f>F24+F30+F37+F41+F47</f>
      </c>
      <c r="G21" s="85">
        <f>G24</f>
      </c>
      <c r="H21" s="6"/>
      <c r="I21" s="2"/>
      <c r="J21" s="2"/>
      <c r="K21" s="76" t="s">
        <v>36</v>
      </c>
      <c r="L21" s="5" t="s">
        <v>37</v>
      </c>
      <c r="M21" s="86" t="s">
        <v>38</v>
      </c>
      <c r="N21" s="87"/>
      <c r="O21" s="88">
        <f>Liikenne!F9</f>
      </c>
      <c r="P21" s="87"/>
      <c r="Q21" s="2"/>
      <c r="R21" s="2"/>
      <c r="S21" s="2"/>
      <c r="T21" s="2"/>
      <c r="U21" s="75"/>
      <c r="V21" s="2"/>
      <c r="W21" s="6"/>
      <c r="X21" s="6"/>
      <c r="Y21" s="76"/>
      <c r="Z21" s="6"/>
      <c r="AA21" s="6"/>
      <c r="AB21" s="6"/>
      <c r="AC21" s="2"/>
    </row>
    <row x14ac:dyDescent="0.25" r="22" customHeight="1" ht="19.5">
      <c r="A22" s="2"/>
      <c r="B22" s="6"/>
      <c r="C22" s="6"/>
      <c r="D22" s="6"/>
      <c r="E22" s="6"/>
      <c r="F22" s="76"/>
      <c r="G22" s="6"/>
      <c r="H22" s="6"/>
      <c r="I22" s="2"/>
      <c r="J22" s="2"/>
      <c r="K22" s="75"/>
      <c r="L22" s="5"/>
      <c r="M22" s="86" t="s">
        <v>39</v>
      </c>
      <c r="N22" s="87"/>
      <c r="O22" s="88">
        <f>Liikenne!F10</f>
      </c>
      <c r="P22" s="87"/>
      <c r="Q22" s="2"/>
      <c r="R22" s="2"/>
      <c r="S22" s="2"/>
      <c r="T22" s="2"/>
      <c r="U22" s="75"/>
      <c r="V22" s="2"/>
      <c r="W22" s="2"/>
      <c r="X22" s="2"/>
      <c r="Y22" s="75"/>
      <c r="Z22" s="2"/>
      <c r="AA22" s="2"/>
      <c r="AB22" s="2"/>
      <c r="AC22" s="2"/>
    </row>
    <row x14ac:dyDescent="0.25" r="23" customHeight="1" ht="19.5">
      <c r="A23" s="2"/>
      <c r="B23" s="8" t="s">
        <v>40</v>
      </c>
      <c r="C23" s="6"/>
      <c r="D23" s="6"/>
      <c r="E23" s="6"/>
      <c r="F23" s="76"/>
      <c r="G23" s="6"/>
      <c r="H23" s="6"/>
      <c r="I23" s="2"/>
      <c r="J23" s="2"/>
      <c r="K23" s="75"/>
      <c r="L23" s="2"/>
      <c r="M23" s="86" t="s">
        <v>41</v>
      </c>
      <c r="N23" s="2"/>
      <c r="O23" s="88">
        <f>Liikenne!F11</f>
      </c>
      <c r="P23" s="2"/>
      <c r="Q23" s="2"/>
      <c r="R23" s="2"/>
      <c r="S23" s="2"/>
      <c r="T23" s="2"/>
      <c r="U23" s="75"/>
      <c r="V23" s="2"/>
      <c r="W23" s="2"/>
      <c r="X23" s="2"/>
      <c r="Y23" s="75"/>
      <c r="Z23" s="2"/>
      <c r="AA23" s="2"/>
      <c r="AB23" s="2"/>
      <c r="AC23" s="2"/>
    </row>
    <row x14ac:dyDescent="0.25" r="24" customHeight="1" ht="19.5">
      <c r="A24" s="2"/>
      <c r="B24" s="89" t="s">
        <v>16</v>
      </c>
      <c r="C24" s="90"/>
      <c r="D24" s="91"/>
      <c r="E24" s="91"/>
      <c r="F24" s="92">
        <f>O31</f>
      </c>
      <c r="G24" s="93" t="s">
        <v>4</v>
      </c>
      <c r="H24" s="6"/>
      <c r="I24" s="2"/>
      <c r="J24" s="2"/>
      <c r="K24" s="75"/>
      <c r="L24" s="2"/>
      <c r="M24" s="86" t="s">
        <v>42</v>
      </c>
      <c r="N24" s="2"/>
      <c r="O24" s="88">
        <f>Liikenne!F12</f>
      </c>
      <c r="P24" s="2"/>
      <c r="Q24" s="2"/>
      <c r="R24" s="2"/>
      <c r="S24" s="2"/>
      <c r="T24" s="2"/>
      <c r="U24" s="75"/>
      <c r="V24" s="2"/>
      <c r="W24" s="2"/>
      <c r="X24" s="2"/>
      <c r="Y24" s="75"/>
      <c r="Z24" s="2"/>
      <c r="AA24" s="2"/>
      <c r="AB24" s="2"/>
      <c r="AC24" s="2"/>
    </row>
    <row x14ac:dyDescent="0.25" r="25" customHeight="1" ht="19.5">
      <c r="A25" s="2"/>
      <c r="B25" s="94" t="s">
        <v>43</v>
      </c>
      <c r="C25" s="86"/>
      <c r="D25" s="94"/>
      <c r="E25" s="94"/>
      <c r="F25" s="95">
        <f>Ruoka!E11</f>
      </c>
      <c r="G25" s="6"/>
      <c r="H25" s="6"/>
      <c r="I25" s="2"/>
      <c r="J25" s="2"/>
      <c r="K25" s="75"/>
      <c r="L25" s="5" t="s">
        <v>44</v>
      </c>
      <c r="M25" s="87"/>
      <c r="N25" s="87"/>
      <c r="O25" s="96">
        <f>Liikenne!F42</f>
      </c>
      <c r="P25" s="57"/>
      <c r="Q25" s="2"/>
      <c r="R25" s="2"/>
      <c r="S25" s="2"/>
      <c r="T25" s="2"/>
      <c r="U25" s="75"/>
      <c r="V25" s="2"/>
      <c r="W25" s="2"/>
      <c r="X25" s="2"/>
      <c r="Y25" s="75"/>
      <c r="Z25" s="2"/>
      <c r="AA25" s="2"/>
      <c r="AB25" s="2"/>
      <c r="AC25" s="2"/>
    </row>
    <row x14ac:dyDescent="0.25" r="26" customHeight="1" ht="19.5">
      <c r="A26" s="2"/>
      <c r="B26" s="94" t="s">
        <v>45</v>
      </c>
      <c r="C26" s="86"/>
      <c r="D26" s="6"/>
      <c r="E26" s="94"/>
      <c r="F26" s="95">
        <f>Ruoka!E17</f>
      </c>
      <c r="G26" s="6"/>
      <c r="H26" s="6"/>
      <c r="I26" s="2"/>
      <c r="J26" s="2"/>
      <c r="K26" s="75"/>
      <c r="L26" s="5" t="s">
        <v>46</v>
      </c>
      <c r="M26" s="6" t="s">
        <v>47</v>
      </c>
      <c r="N26" s="87"/>
      <c r="O26" s="96">
        <f>Liikenne!F22</f>
      </c>
      <c r="P26" s="87"/>
      <c r="Q26" s="2"/>
      <c r="R26" s="2"/>
      <c r="S26" s="2"/>
      <c r="T26" s="2"/>
      <c r="U26" s="75"/>
      <c r="V26" s="2"/>
      <c r="W26" s="2"/>
      <c r="X26" s="2"/>
      <c r="Y26" s="75"/>
      <c r="Z26" s="2"/>
      <c r="AA26" s="2"/>
      <c r="AB26" s="2"/>
      <c r="AC26" s="2"/>
    </row>
    <row x14ac:dyDescent="0.25" r="27" customHeight="1" ht="19.5">
      <c r="A27" s="2"/>
      <c r="B27" s="94" t="s">
        <v>48</v>
      </c>
      <c r="C27" s="86"/>
      <c r="D27" s="6"/>
      <c r="E27" s="6"/>
      <c r="F27" s="97">
        <f>Ruoka!E21</f>
      </c>
      <c r="G27" s="6"/>
      <c r="H27" s="6"/>
      <c r="I27" s="2"/>
      <c r="J27" s="2"/>
      <c r="K27" s="75"/>
      <c r="L27" s="2"/>
      <c r="M27" s="87" t="s">
        <v>49</v>
      </c>
      <c r="N27" s="2"/>
      <c r="O27" s="69">
        <f>Liikenne!F26</f>
      </c>
      <c r="P27" s="2"/>
      <c r="Q27" s="2"/>
      <c r="R27" s="2"/>
      <c r="S27" s="2"/>
      <c r="T27" s="2"/>
      <c r="U27" s="75"/>
      <c r="V27" s="2"/>
      <c r="W27" s="2"/>
      <c r="X27" s="2"/>
      <c r="Y27" s="75"/>
      <c r="Z27" s="2"/>
      <c r="AA27" s="2"/>
      <c r="AB27" s="2"/>
      <c r="AC27" s="2"/>
    </row>
    <row x14ac:dyDescent="0.25" r="28" customHeight="1" ht="19.5">
      <c r="A28" s="2"/>
      <c r="B28" s="94" t="s">
        <v>30</v>
      </c>
      <c r="C28" s="86"/>
      <c r="D28" s="6"/>
      <c r="E28" s="6"/>
      <c r="F28" s="98">
        <f>Ruoka!E26</f>
      </c>
      <c r="G28" s="6"/>
      <c r="H28" s="6"/>
      <c r="I28" s="2"/>
      <c r="J28" s="2"/>
      <c r="K28" s="75"/>
      <c r="L28" s="31" t="s">
        <v>50</v>
      </c>
      <c r="M28" s="87"/>
      <c r="N28" s="87"/>
      <c r="O28" s="99">
        <f>Liikenne!F37</f>
      </c>
      <c r="P28" s="87"/>
      <c r="Q28" s="2"/>
      <c r="R28" s="2"/>
      <c r="S28" s="2"/>
      <c r="T28" s="2"/>
      <c r="U28" s="75"/>
      <c r="V28" s="2"/>
      <c r="W28" s="2"/>
      <c r="X28" s="2"/>
      <c r="Y28" s="75"/>
      <c r="Z28" s="2"/>
      <c r="AA28" s="2"/>
      <c r="AB28" s="2"/>
      <c r="AC28" s="2"/>
    </row>
    <row x14ac:dyDescent="0.25" r="29" customHeight="1" ht="19.5">
      <c r="A29" s="2"/>
      <c r="B29" s="54" t="s">
        <v>32</v>
      </c>
      <c r="C29" s="100"/>
      <c r="D29" s="54"/>
      <c r="E29" s="54"/>
      <c r="F29" s="97">
        <f>Ruoka!E32</f>
      </c>
      <c r="G29" s="6"/>
      <c r="H29" s="6"/>
      <c r="I29" s="2"/>
      <c r="J29" s="2"/>
      <c r="K29" s="75"/>
      <c r="L29" s="5" t="s">
        <v>51</v>
      </c>
      <c r="M29" s="87"/>
      <c r="N29" s="87"/>
      <c r="O29" s="99">
        <f>Liikenne!F40</f>
      </c>
      <c r="P29" s="57"/>
      <c r="Q29" s="2"/>
      <c r="R29" s="2"/>
      <c r="S29" s="2"/>
      <c r="T29" s="2"/>
      <c r="U29" s="75"/>
      <c r="V29" s="2"/>
      <c r="W29" s="2"/>
      <c r="X29" s="2"/>
      <c r="Y29" s="75"/>
      <c r="Z29" s="2"/>
      <c r="AA29" s="2"/>
      <c r="AB29" s="2"/>
      <c r="AC29" s="2"/>
    </row>
    <row x14ac:dyDescent="0.25" r="30" customHeight="1" ht="19.5">
      <c r="A30" s="2"/>
      <c r="B30" s="101" t="s">
        <v>26</v>
      </c>
      <c r="C30" s="102"/>
      <c r="D30" s="103"/>
      <c r="E30" s="103"/>
      <c r="F30" s="104">
        <f>O20</f>
      </c>
      <c r="G30" s="105" t="s">
        <v>4</v>
      </c>
      <c r="H30" s="6"/>
      <c r="I30" s="2"/>
      <c r="J30" s="2"/>
      <c r="K30" s="75"/>
      <c r="L30" s="43" t="s">
        <v>52</v>
      </c>
      <c r="M30" s="106"/>
      <c r="N30" s="106"/>
      <c r="O30" s="107">
        <f>Liikenne!F43</f>
      </c>
      <c r="P30" s="106"/>
      <c r="Q30" s="2"/>
      <c r="R30" s="2"/>
      <c r="S30" s="2"/>
      <c r="T30" s="2"/>
      <c r="U30" s="75"/>
      <c r="V30" s="2"/>
      <c r="W30" s="2"/>
      <c r="X30" s="2"/>
      <c r="Y30" s="75"/>
      <c r="Z30" s="2"/>
      <c r="AA30" s="2"/>
      <c r="AB30" s="2"/>
      <c r="AC30" s="2"/>
    </row>
    <row x14ac:dyDescent="0.25" r="31" customHeight="1" ht="19.5">
      <c r="A31" s="2"/>
      <c r="B31" s="94" t="s">
        <v>37</v>
      </c>
      <c r="C31" s="108"/>
      <c r="D31" s="94"/>
      <c r="E31" s="94"/>
      <c r="F31" s="109">
        <f>Liikenne!F13</f>
      </c>
      <c r="G31" s="6"/>
      <c r="H31" s="6"/>
      <c r="I31" s="2"/>
      <c r="J31" s="2"/>
      <c r="K31" s="79" t="s">
        <v>17</v>
      </c>
      <c r="L31" s="80"/>
      <c r="M31" s="81"/>
      <c r="N31" s="81"/>
      <c r="O31" s="82">
        <f>Ruoka!J38</f>
      </c>
      <c r="P31" s="110" t="s">
        <v>4</v>
      </c>
      <c r="Q31" s="2"/>
      <c r="R31" s="2"/>
      <c r="S31" s="2"/>
      <c r="T31" s="2"/>
      <c r="U31" s="75"/>
      <c r="V31" s="2"/>
      <c r="W31" s="2"/>
      <c r="X31" s="2"/>
      <c r="Y31" s="75"/>
      <c r="Z31" s="2"/>
      <c r="AA31" s="2"/>
      <c r="AB31" s="2"/>
      <c r="AC31" s="2"/>
    </row>
    <row x14ac:dyDescent="0.25" r="32" customHeight="1" ht="19.5">
      <c r="A32" s="2"/>
      <c r="B32" s="94" t="s">
        <v>44</v>
      </c>
      <c r="C32" s="6"/>
      <c r="D32" s="94"/>
      <c r="E32" s="94"/>
      <c r="F32" s="95">
        <f>Liikenne!F42</f>
      </c>
      <c r="G32" s="6"/>
      <c r="H32" s="6"/>
      <c r="I32" s="2"/>
      <c r="J32" s="2"/>
      <c r="K32" s="76" t="s">
        <v>17</v>
      </c>
      <c r="L32" s="111">
        <f>Ruoka!C7</f>
      </c>
      <c r="M32" s="112">
        <f>Ruoka!E7</f>
      </c>
      <c r="N32" s="5"/>
      <c r="O32" s="71">
        <f>Ruoka!F7*Ruoka!D7</f>
      </c>
      <c r="P32" s="4"/>
      <c r="Q32" s="2"/>
      <c r="R32" s="2"/>
      <c r="S32" s="2"/>
      <c r="T32" s="2"/>
      <c r="U32" s="75"/>
      <c r="V32" s="2"/>
      <c r="W32" s="2"/>
      <c r="X32" s="2"/>
      <c r="Y32" s="75"/>
      <c r="Z32" s="2"/>
      <c r="AA32" s="2"/>
      <c r="AB32" s="2"/>
      <c r="AC32" s="2"/>
    </row>
    <row x14ac:dyDescent="0.25" r="33" customHeight="1" ht="19.5">
      <c r="A33" s="2"/>
      <c r="B33" s="94" t="s">
        <v>46</v>
      </c>
      <c r="C33" s="6"/>
      <c r="D33" s="94"/>
      <c r="E33" s="94"/>
      <c r="F33" s="95">
        <f>Liikenne!F26+Liikenne!F22</f>
      </c>
      <c r="G33" s="6"/>
      <c r="H33" s="6"/>
      <c r="I33" s="2"/>
      <c r="J33" s="2"/>
      <c r="K33" s="75"/>
      <c r="L33" s="2"/>
      <c r="M33" s="113">
        <f>Ruoka!E8</f>
      </c>
      <c r="N33" s="5"/>
      <c r="O33" s="45">
        <f>Ruoka!F8*Ruoka!D7</f>
      </c>
      <c r="P33" s="5"/>
      <c r="Q33" s="2"/>
      <c r="R33" s="2"/>
      <c r="S33" s="2"/>
      <c r="T33" s="2"/>
      <c r="U33" s="75"/>
      <c r="V33" s="2"/>
      <c r="W33" s="2"/>
      <c r="X33" s="2"/>
      <c r="Y33" s="75"/>
      <c r="Z33" s="2"/>
      <c r="AA33" s="2"/>
      <c r="AB33" s="2"/>
      <c r="AC33" s="2"/>
    </row>
    <row x14ac:dyDescent="0.25" r="34" customHeight="1" ht="19.5">
      <c r="A34" s="2"/>
      <c r="B34" s="94" t="s">
        <v>50</v>
      </c>
      <c r="C34" s="6"/>
      <c r="D34" s="94"/>
      <c r="E34" s="94"/>
      <c r="F34" s="114">
        <f>Liikenne!F37</f>
      </c>
      <c r="G34" s="6"/>
      <c r="H34" s="6"/>
      <c r="I34" s="2"/>
      <c r="J34" s="2"/>
      <c r="K34" s="75"/>
      <c r="L34" s="2"/>
      <c r="M34" s="6" t="s">
        <v>32</v>
      </c>
      <c r="N34" s="2"/>
      <c r="O34" s="115">
        <f>(Ruoka!F9+Ruoka!F10)*Ruoka!D7</f>
      </c>
      <c r="P34" s="5"/>
      <c r="Q34" s="2"/>
      <c r="R34" s="2"/>
      <c r="S34" s="2"/>
      <c r="T34" s="2"/>
      <c r="U34" s="75"/>
      <c r="V34" s="2"/>
      <c r="W34" s="2"/>
      <c r="X34" s="2"/>
      <c r="Y34" s="75"/>
      <c r="Z34" s="2"/>
      <c r="AA34" s="2"/>
      <c r="AB34" s="2"/>
      <c r="AC34" s="2"/>
    </row>
    <row x14ac:dyDescent="0.25" r="35" customHeight="1" ht="19.5">
      <c r="A35" s="2"/>
      <c r="B35" s="94" t="s">
        <v>51</v>
      </c>
      <c r="C35" s="6"/>
      <c r="D35" s="94"/>
      <c r="E35" s="94"/>
      <c r="F35" s="114">
        <f>Liikenne!F40</f>
      </c>
      <c r="G35" s="6"/>
      <c r="H35" s="6"/>
      <c r="I35" s="2"/>
      <c r="J35" s="2"/>
      <c r="K35" s="75"/>
      <c r="L35" s="111">
        <f>Ruoka!C13</f>
      </c>
      <c r="M35" s="112">
        <f>Ruoka!E13</f>
      </c>
      <c r="N35" s="5"/>
      <c r="O35" s="45">
        <f>Ruoka!F13*Ruoka!D13</f>
      </c>
      <c r="P35" s="5"/>
      <c r="Q35" s="2"/>
      <c r="R35" s="2"/>
      <c r="S35" s="2"/>
      <c r="T35" s="2"/>
      <c r="U35" s="75"/>
      <c r="V35" s="2"/>
      <c r="W35" s="2"/>
      <c r="X35" s="2"/>
      <c r="Y35" s="75"/>
      <c r="Z35" s="2"/>
      <c r="AA35" s="2"/>
      <c r="AB35" s="2"/>
      <c r="AC35" s="2"/>
    </row>
    <row x14ac:dyDescent="0.25" r="36" customHeight="1" ht="19.5">
      <c r="A36" s="2"/>
      <c r="B36" s="116" t="s">
        <v>52</v>
      </c>
      <c r="C36" s="54"/>
      <c r="D36" s="116"/>
      <c r="E36" s="116"/>
      <c r="F36" s="95">
        <f>Liikenne!F43</f>
      </c>
      <c r="G36" s="6"/>
      <c r="H36" s="6"/>
      <c r="I36" s="2"/>
      <c r="J36" s="2"/>
      <c r="K36" s="75"/>
      <c r="L36" s="94"/>
      <c r="M36" s="112">
        <f>Ruoka!E14</f>
      </c>
      <c r="N36" s="5"/>
      <c r="O36" s="45">
        <f>Ruoka!F14*Ruoka!D13</f>
      </c>
      <c r="P36" s="5"/>
      <c r="Q36" s="2"/>
      <c r="R36" s="2"/>
      <c r="S36" s="2"/>
      <c r="T36" s="2"/>
      <c r="U36" s="75"/>
      <c r="V36" s="2"/>
      <c r="W36" s="2"/>
      <c r="X36" s="2"/>
      <c r="Y36" s="75"/>
      <c r="Z36" s="2"/>
      <c r="AA36" s="2"/>
      <c r="AB36" s="2"/>
      <c r="AC36" s="2"/>
    </row>
    <row x14ac:dyDescent="0.25" r="37" customHeight="1" ht="19.5">
      <c r="A37" s="2"/>
      <c r="B37" s="117" t="s">
        <v>53</v>
      </c>
      <c r="C37" s="118"/>
      <c r="D37" s="118"/>
      <c r="E37" s="118"/>
      <c r="F37" s="119">
        <f>O41</f>
      </c>
      <c r="G37" s="120" t="s">
        <v>4</v>
      </c>
      <c r="H37" s="6"/>
      <c r="I37" s="2"/>
      <c r="J37" s="2"/>
      <c r="K37" s="75"/>
      <c r="L37" s="94"/>
      <c r="M37" s="6" t="s">
        <v>32</v>
      </c>
      <c r="N37" s="2"/>
      <c r="O37" s="115">
        <f>(Ruoka!F15+Ruoka!F16)*Ruoka!D13</f>
      </c>
      <c r="P37" s="5"/>
      <c r="Q37" s="2"/>
      <c r="R37" s="2"/>
      <c r="S37" s="2"/>
      <c r="T37" s="2"/>
      <c r="U37" s="75"/>
      <c r="V37" s="2"/>
      <c r="W37" s="2"/>
      <c r="X37" s="2"/>
      <c r="Y37" s="75"/>
      <c r="Z37" s="2"/>
      <c r="AA37" s="2"/>
      <c r="AB37" s="2"/>
      <c r="AC37" s="2"/>
    </row>
    <row x14ac:dyDescent="0.25" r="38" customHeight="1" ht="19.5">
      <c r="A38" s="2"/>
      <c r="B38" s="121" t="s">
        <v>54</v>
      </c>
      <c r="C38" s="121"/>
      <c r="D38" s="121"/>
      <c r="E38" s="121"/>
      <c r="F38" s="95">
        <f>Infra!F8</f>
      </c>
      <c r="G38" s="6"/>
      <c r="H38" s="6"/>
      <c r="I38" s="2"/>
      <c r="J38" s="2"/>
      <c r="K38" s="75"/>
      <c r="L38" s="111">
        <f>Ruoka!C19</f>
      </c>
      <c r="M38" s="113">
        <f>Ruoka!E19</f>
      </c>
      <c r="N38" s="5"/>
      <c r="O38" s="45">
        <f>Ruoka!F19*Ruoka!D19</f>
      </c>
      <c r="P38" s="5"/>
      <c r="Q38" s="2"/>
      <c r="R38" s="2"/>
      <c r="S38" s="2"/>
      <c r="T38" s="2"/>
      <c r="U38" s="75"/>
      <c r="V38" s="2"/>
      <c r="W38" s="2"/>
      <c r="X38" s="2"/>
      <c r="Y38" s="75"/>
      <c r="Z38" s="2"/>
      <c r="AA38" s="2"/>
      <c r="AB38" s="2"/>
      <c r="AC38" s="2"/>
    </row>
    <row x14ac:dyDescent="0.25" r="39" customHeight="1" ht="19.5">
      <c r="A39" s="2"/>
      <c r="B39" s="94" t="s">
        <v>55</v>
      </c>
      <c r="C39" s="94"/>
      <c r="D39" s="94"/>
      <c r="E39" s="94"/>
      <c r="F39" s="95">
        <f>Infra!F14</f>
      </c>
      <c r="G39" s="6"/>
      <c r="H39" s="6"/>
      <c r="I39" s="2"/>
      <c r="J39" s="2"/>
      <c r="K39" s="75"/>
      <c r="L39" s="2"/>
      <c r="M39" s="113">
        <f>Ruoka!E20</f>
      </c>
      <c r="N39" s="5"/>
      <c r="O39" s="45">
        <f>Ruoka!F20*Ruoka!D19</f>
      </c>
      <c r="P39" s="4"/>
      <c r="Q39" s="2"/>
      <c r="R39" s="2"/>
      <c r="S39" s="2"/>
      <c r="T39" s="2"/>
      <c r="U39" s="75"/>
      <c r="V39" s="2"/>
      <c r="W39" s="2"/>
      <c r="X39" s="2"/>
      <c r="Y39" s="75"/>
      <c r="Z39" s="2"/>
      <c r="AA39" s="2"/>
      <c r="AB39" s="2"/>
      <c r="AC39" s="2"/>
    </row>
    <row x14ac:dyDescent="0.25" r="40" customHeight="1" ht="19.5">
      <c r="A40" s="2"/>
      <c r="B40" s="116" t="s">
        <v>56</v>
      </c>
      <c r="C40" s="116"/>
      <c r="D40" s="116"/>
      <c r="E40" s="116"/>
      <c r="F40" s="95">
        <f>Infra!F19</f>
      </c>
      <c r="G40" s="6"/>
      <c r="H40" s="6"/>
      <c r="I40" s="2"/>
      <c r="J40" s="2"/>
      <c r="K40" s="75"/>
      <c r="L40" s="94" t="s">
        <v>30</v>
      </c>
      <c r="M40" s="54"/>
      <c r="N40" s="54"/>
      <c r="O40" s="69">
        <f>Ruoka!E26</f>
      </c>
      <c r="P40" s="54"/>
      <c r="Q40" s="2"/>
      <c r="R40" s="2"/>
      <c r="S40" s="2"/>
      <c r="T40" s="2"/>
      <c r="U40" s="75"/>
      <c r="V40" s="2"/>
      <c r="W40" s="2"/>
      <c r="X40" s="2"/>
      <c r="Y40" s="75"/>
      <c r="Z40" s="2"/>
      <c r="AA40" s="2"/>
      <c r="AB40" s="2"/>
      <c r="AC40" s="2"/>
    </row>
    <row x14ac:dyDescent="0.25" r="41" customHeight="1" ht="19.5">
      <c r="A41" s="2"/>
      <c r="B41" s="122" t="s">
        <v>57</v>
      </c>
      <c r="C41" s="123"/>
      <c r="D41" s="123"/>
      <c r="E41" s="123"/>
      <c r="F41" s="124">
        <f>SUM(F42:F46)</f>
      </c>
      <c r="G41" s="125" t="s">
        <v>4</v>
      </c>
      <c r="H41" s="6"/>
      <c r="I41" s="2"/>
      <c r="J41" s="2"/>
      <c r="K41" s="79" t="s">
        <v>58</v>
      </c>
      <c r="L41" s="126"/>
      <c r="M41" s="126"/>
      <c r="N41" s="126"/>
      <c r="O41" s="127">
        <f>O42+O45+O46</f>
      </c>
      <c r="P41" s="128" t="s">
        <v>4</v>
      </c>
      <c r="Q41" s="2"/>
      <c r="R41" s="2"/>
      <c r="S41" s="2"/>
      <c r="T41" s="2"/>
      <c r="U41" s="75"/>
      <c r="V41" s="2"/>
      <c r="W41" s="2"/>
      <c r="X41" s="2"/>
      <c r="Y41" s="75"/>
      <c r="Z41" s="2"/>
      <c r="AA41" s="2"/>
      <c r="AB41" s="2"/>
      <c r="AC41" s="2"/>
    </row>
    <row x14ac:dyDescent="0.25" r="42" customHeight="1" ht="19.5">
      <c r="A42" s="2"/>
      <c r="B42" s="86" t="s">
        <v>59</v>
      </c>
      <c r="C42" s="121"/>
      <c r="D42" s="121"/>
      <c r="E42" s="121"/>
      <c r="F42" s="95">
        <f>SUM(Infra!F43:F49)</f>
      </c>
      <c r="G42" s="129"/>
      <c r="H42" s="6"/>
      <c r="I42" s="2"/>
      <c r="J42" s="2"/>
      <c r="K42" s="76" t="s">
        <v>58</v>
      </c>
      <c r="L42" s="28" t="s">
        <v>54</v>
      </c>
      <c r="M42" s="28"/>
      <c r="N42" s="28"/>
      <c r="O42" s="29">
        <f>Infra!F8</f>
      </c>
      <c r="P42" s="130"/>
      <c r="Q42" s="2"/>
      <c r="R42" s="2"/>
      <c r="S42" s="2"/>
      <c r="T42" s="2"/>
      <c r="U42" s="75"/>
      <c r="V42" s="2"/>
      <c r="W42" s="2"/>
      <c r="X42" s="2"/>
      <c r="Y42" s="75"/>
      <c r="Z42" s="2"/>
      <c r="AA42" s="2"/>
      <c r="AB42" s="2"/>
      <c r="AC42" s="2"/>
    </row>
    <row x14ac:dyDescent="0.25" r="43" customHeight="1" ht="19.5">
      <c r="A43" s="2"/>
      <c r="B43" s="94" t="s">
        <v>60</v>
      </c>
      <c r="C43" s="94"/>
      <c r="D43" s="94"/>
      <c r="E43" s="94"/>
      <c r="F43" s="114">
        <f>SUM(Infra!F51:F54)</f>
      </c>
      <c r="G43" s="8"/>
      <c r="H43" s="6"/>
      <c r="I43" s="2"/>
      <c r="J43" s="2"/>
      <c r="K43" s="75"/>
      <c r="L43" s="2"/>
      <c r="M43" s="5" t="s">
        <v>61</v>
      </c>
      <c r="N43" s="5"/>
      <c r="O43" s="45">
        <f>Infra!F26</f>
      </c>
      <c r="P43" s="5"/>
      <c r="Q43" s="2"/>
      <c r="R43" s="2"/>
      <c r="S43" s="2"/>
      <c r="T43" s="2"/>
      <c r="U43" s="75"/>
      <c r="V43" s="2"/>
      <c r="W43" s="2"/>
      <c r="X43" s="2"/>
      <c r="Y43" s="75"/>
      <c r="Z43" s="2"/>
      <c r="AA43" s="2"/>
      <c r="AB43" s="2"/>
      <c r="AC43" s="2"/>
    </row>
    <row x14ac:dyDescent="0.25" r="44" customHeight="1" ht="19.5">
      <c r="A44" s="2"/>
      <c r="B44" s="86" t="s">
        <v>62</v>
      </c>
      <c r="C44" s="94"/>
      <c r="D44" s="94"/>
      <c r="E44" s="94"/>
      <c r="F44" s="97">
        <f>SUM(Infra!F56:F58)</f>
      </c>
      <c r="G44" s="94"/>
      <c r="H44" s="6"/>
      <c r="I44" s="2"/>
      <c r="J44" s="2"/>
      <c r="K44" s="75"/>
      <c r="L44" s="2"/>
      <c r="M44" s="6" t="s">
        <v>63</v>
      </c>
      <c r="N44" s="2"/>
      <c r="O44" s="69">
        <f>Ruoka!J32</f>
      </c>
      <c r="P44" s="5"/>
      <c r="Q44" s="2"/>
      <c r="R44" s="2"/>
      <c r="S44" s="2"/>
      <c r="T44" s="2"/>
      <c r="U44" s="75"/>
      <c r="V44" s="2"/>
      <c r="W44" s="2"/>
      <c r="X44" s="2"/>
      <c r="Y44" s="75"/>
      <c r="Z44" s="2"/>
      <c r="AA44" s="2"/>
      <c r="AB44" s="2"/>
      <c r="AC44" s="2"/>
    </row>
    <row x14ac:dyDescent="0.25" r="45" customHeight="1" ht="19.5">
      <c r="A45" s="2"/>
      <c r="B45" s="94" t="s">
        <v>64</v>
      </c>
      <c r="C45" s="94"/>
      <c r="D45" s="94"/>
      <c r="E45" s="94"/>
      <c r="F45" s="109">
        <f>Infra!F62</f>
      </c>
      <c r="G45" s="94"/>
      <c r="H45" s="6"/>
      <c r="I45" s="2"/>
      <c r="J45" s="2"/>
      <c r="K45" s="75"/>
      <c r="L45" s="5" t="s">
        <v>55</v>
      </c>
      <c r="M45" s="5"/>
      <c r="N45" s="5"/>
      <c r="O45" s="45">
        <f>Infra!F14</f>
      </c>
      <c r="P45" s="131"/>
      <c r="Q45" s="2"/>
      <c r="R45" s="2"/>
      <c r="S45" s="2"/>
      <c r="T45" s="2"/>
      <c r="U45" s="75"/>
      <c r="V45" s="2"/>
      <c r="W45" s="2"/>
      <c r="X45" s="2"/>
      <c r="Y45" s="75"/>
      <c r="Z45" s="2"/>
      <c r="AA45" s="2"/>
      <c r="AB45" s="2"/>
      <c r="AC45" s="2"/>
    </row>
    <row x14ac:dyDescent="0.25" r="46" customHeight="1" ht="19.5">
      <c r="A46" s="2"/>
      <c r="B46" s="116" t="s">
        <v>65</v>
      </c>
      <c r="C46" s="54"/>
      <c r="D46" s="54"/>
      <c r="E46" s="54"/>
      <c r="F46" s="95">
        <f>SUM(Infra!F63:F64)</f>
      </c>
      <c r="G46" s="132"/>
      <c r="H46" s="6"/>
      <c r="I46" s="2"/>
      <c r="J46" s="2"/>
      <c r="K46" s="75"/>
      <c r="L46" s="43" t="s">
        <v>56</v>
      </c>
      <c r="M46" s="43"/>
      <c r="N46" s="43"/>
      <c r="O46" s="29">
        <f>Infra!F19</f>
      </c>
      <c r="P46" s="132"/>
      <c r="Q46" s="2"/>
      <c r="R46" s="2"/>
      <c r="S46" s="2"/>
      <c r="T46" s="2"/>
      <c r="U46" s="75"/>
      <c r="V46" s="2"/>
      <c r="W46" s="2"/>
      <c r="X46" s="2"/>
      <c r="Y46" s="75"/>
      <c r="Z46" s="2"/>
      <c r="AA46" s="2"/>
      <c r="AB46" s="2"/>
      <c r="AC46" s="2"/>
    </row>
    <row x14ac:dyDescent="0.25" r="47" customHeight="1" ht="19.5">
      <c r="A47" s="2"/>
      <c r="B47" s="133" t="s">
        <v>66</v>
      </c>
      <c r="C47" s="134"/>
      <c r="D47" s="134"/>
      <c r="E47" s="134"/>
      <c r="F47" s="135">
        <f>O53</f>
      </c>
      <c r="G47" s="66" t="s">
        <v>4</v>
      </c>
      <c r="H47" s="6"/>
      <c r="I47" s="2"/>
      <c r="J47" s="2"/>
      <c r="K47" s="79" t="s">
        <v>15</v>
      </c>
      <c r="L47" s="126"/>
      <c r="M47" s="126"/>
      <c r="N47" s="126"/>
      <c r="O47" s="127">
        <f>O48+O49+O50+O51</f>
      </c>
      <c r="P47" s="136" t="s">
        <v>4</v>
      </c>
      <c r="Q47" s="2"/>
      <c r="R47" s="2"/>
      <c r="S47" s="2"/>
      <c r="T47" s="2"/>
      <c r="U47" s="75"/>
      <c r="V47" s="2"/>
      <c r="W47" s="2"/>
      <c r="X47" s="2"/>
      <c r="Y47" s="75"/>
      <c r="Z47" s="2"/>
      <c r="AA47" s="2"/>
      <c r="AB47" s="2"/>
      <c r="AC47" s="2"/>
    </row>
    <row x14ac:dyDescent="0.25" r="48" customHeight="1" ht="19.5">
      <c r="A48" s="2"/>
      <c r="B48" s="94" t="s">
        <v>67</v>
      </c>
      <c r="C48" s="121"/>
      <c r="D48" s="121"/>
      <c r="E48" s="121"/>
      <c r="F48" s="95">
        <f>Infra!F29</f>
      </c>
      <c r="G48" s="6"/>
      <c r="H48" s="6"/>
      <c r="I48" s="2"/>
      <c r="J48" s="6" t="s">
        <v>35</v>
      </c>
      <c r="K48" s="76" t="s">
        <v>15</v>
      </c>
      <c r="L48" s="87" t="s">
        <v>59</v>
      </c>
      <c r="M48" s="28"/>
      <c r="N48" s="28"/>
      <c r="O48" s="45">
        <f>SUM(Infra!F43:F49)</f>
      </c>
      <c r="P48" s="137"/>
      <c r="Q48" s="2"/>
      <c r="R48" s="2"/>
      <c r="S48" s="2"/>
      <c r="T48" s="2"/>
      <c r="U48" s="75"/>
      <c r="V48" s="2"/>
      <c r="W48" s="2"/>
      <c r="X48" s="2"/>
      <c r="Y48" s="75"/>
      <c r="Z48" s="2"/>
      <c r="AA48" s="2"/>
      <c r="AB48" s="2"/>
      <c r="AC48" s="2"/>
    </row>
    <row x14ac:dyDescent="0.25" r="49" customHeight="1" ht="19.5">
      <c r="A49" s="2"/>
      <c r="B49" s="94" t="s">
        <v>68</v>
      </c>
      <c r="C49" s="94"/>
      <c r="D49" s="94"/>
      <c r="E49" s="94"/>
      <c r="F49" s="95">
        <f>Infra!F30</f>
      </c>
      <c r="G49" s="6"/>
      <c r="H49" s="6"/>
      <c r="I49" s="2"/>
      <c r="J49" s="2"/>
      <c r="K49" s="75"/>
      <c r="L49" s="5" t="s">
        <v>60</v>
      </c>
      <c r="M49" s="5"/>
      <c r="N49" s="5"/>
      <c r="O49" s="45">
        <f>SUM(Infra!F51:F54)</f>
      </c>
      <c r="P49" s="4"/>
      <c r="Q49" s="2"/>
      <c r="R49" s="2"/>
      <c r="S49" s="2"/>
      <c r="T49" s="2"/>
      <c r="U49" s="75"/>
      <c r="V49" s="2"/>
      <c r="W49" s="2"/>
      <c r="X49" s="2"/>
      <c r="Y49" s="75"/>
      <c r="Z49" s="2"/>
      <c r="AA49" s="2"/>
      <c r="AB49" s="2"/>
      <c r="AC49" s="2"/>
    </row>
    <row x14ac:dyDescent="0.25" r="50" customHeight="1" ht="19.5">
      <c r="A50" s="2"/>
      <c r="B50" s="94" t="s">
        <v>33</v>
      </c>
      <c r="C50" s="94"/>
      <c r="D50" s="94"/>
      <c r="E50" s="94"/>
      <c r="F50" s="95">
        <f>Infra!F31</f>
      </c>
      <c r="G50" s="6"/>
      <c r="H50" s="6"/>
      <c r="I50" s="2"/>
      <c r="J50" s="2"/>
      <c r="K50" s="75"/>
      <c r="L50" s="87" t="s">
        <v>62</v>
      </c>
      <c r="M50" s="5"/>
      <c r="N50" s="5"/>
      <c r="O50" s="45">
        <f>SUM(Infra!F56:F58)</f>
      </c>
      <c r="P50" s="5"/>
      <c r="Q50" s="2"/>
      <c r="R50" s="2"/>
      <c r="S50" s="2"/>
      <c r="T50" s="2"/>
      <c r="U50" s="75"/>
      <c r="V50" s="2"/>
      <c r="W50" s="2"/>
      <c r="X50" s="2"/>
      <c r="Y50" s="75"/>
      <c r="Z50" s="2"/>
      <c r="AA50" s="2"/>
      <c r="AB50" s="2"/>
      <c r="AC50" s="2"/>
    </row>
    <row x14ac:dyDescent="0.25" r="51" customHeight="1" ht="19.5">
      <c r="A51" s="2"/>
      <c r="B51" s="94" t="s">
        <v>69</v>
      </c>
      <c r="C51" s="94"/>
      <c r="D51" s="94"/>
      <c r="E51" s="94"/>
      <c r="F51" s="95">
        <f>Infra!F32</f>
      </c>
      <c r="G51" s="6"/>
      <c r="H51" s="6"/>
      <c r="I51" s="2"/>
      <c r="J51" s="2"/>
      <c r="K51" s="75"/>
      <c r="L51" s="5" t="s">
        <v>64</v>
      </c>
      <c r="M51" s="5"/>
      <c r="N51" s="5"/>
      <c r="O51" s="45">
        <f>Infra!F62</f>
      </c>
      <c r="P51" s="5"/>
      <c r="Q51" s="2"/>
      <c r="R51" s="2"/>
      <c r="S51" s="2"/>
      <c r="T51" s="2"/>
      <c r="U51" s="75"/>
      <c r="V51" s="2"/>
      <c r="W51" s="2"/>
      <c r="X51" s="2"/>
      <c r="Y51" s="75"/>
      <c r="Z51" s="2"/>
      <c r="AA51" s="2"/>
      <c r="AB51" s="2"/>
      <c r="AC51" s="2"/>
    </row>
    <row x14ac:dyDescent="0.25" r="52" customHeight="1" ht="19.5">
      <c r="A52" s="2"/>
      <c r="B52" s="94" t="s">
        <v>70</v>
      </c>
      <c r="C52" s="6"/>
      <c r="D52" s="6"/>
      <c r="E52" s="6"/>
      <c r="F52" s="95">
        <f>Infra!F33</f>
      </c>
      <c r="G52" s="6"/>
      <c r="H52" s="6"/>
      <c r="I52" s="2"/>
      <c r="J52" s="2"/>
      <c r="K52" s="75"/>
      <c r="L52" s="43" t="s">
        <v>65</v>
      </c>
      <c r="M52" s="54"/>
      <c r="N52" s="54"/>
      <c r="O52" s="69">
        <f>Infra!F64+Infra!F63</f>
      </c>
      <c r="P52" s="132"/>
      <c r="Q52" s="2"/>
      <c r="R52" s="2"/>
      <c r="S52" s="2"/>
      <c r="T52" s="2"/>
      <c r="U52" s="75"/>
      <c r="V52" s="2"/>
      <c r="W52" s="2"/>
      <c r="X52" s="2"/>
      <c r="Y52" s="75"/>
      <c r="Z52" s="2"/>
      <c r="AA52" s="2"/>
      <c r="AB52" s="2"/>
      <c r="AC52" s="2"/>
    </row>
    <row x14ac:dyDescent="0.25" r="53" customHeight="1" ht="19.5">
      <c r="A53" s="2"/>
      <c r="B53" s="94" t="s">
        <v>71</v>
      </c>
      <c r="C53" s="6"/>
      <c r="D53" s="6"/>
      <c r="E53" s="6"/>
      <c r="F53" s="95">
        <f>Infra!F34</f>
      </c>
      <c r="G53" s="6"/>
      <c r="H53" s="6"/>
      <c r="I53" s="2"/>
      <c r="J53" s="2"/>
      <c r="K53" s="79" t="s">
        <v>14</v>
      </c>
      <c r="L53" s="126"/>
      <c r="M53" s="126"/>
      <c r="N53" s="126"/>
      <c r="O53" s="127">
        <f>O54+O55+O56+O57</f>
      </c>
      <c r="P53" s="136" t="s">
        <v>4</v>
      </c>
      <c r="Q53" s="2"/>
      <c r="R53" s="2"/>
      <c r="S53" s="2"/>
      <c r="T53" s="2"/>
      <c r="U53" s="75"/>
      <c r="V53" s="2"/>
      <c r="W53" s="2"/>
      <c r="X53" s="2"/>
      <c r="Y53" s="75"/>
      <c r="Z53" s="2"/>
      <c r="AA53" s="2"/>
      <c r="AB53" s="2"/>
      <c r="AC53" s="2"/>
    </row>
    <row x14ac:dyDescent="0.25" r="54" customHeight="1" ht="19.5">
      <c r="A54" s="2"/>
      <c r="B54" s="94" t="s">
        <v>72</v>
      </c>
      <c r="C54" s="6"/>
      <c r="D54" s="6"/>
      <c r="E54" s="6"/>
      <c r="F54" s="95">
        <f>Infra!F35</f>
      </c>
      <c r="G54" s="6"/>
      <c r="H54" s="6"/>
      <c r="I54" s="2"/>
      <c r="J54" s="2"/>
      <c r="K54" s="76" t="s">
        <v>14</v>
      </c>
      <c r="L54" s="94" t="s">
        <v>67</v>
      </c>
      <c r="M54" s="28"/>
      <c r="N54" s="28"/>
      <c r="O54" s="45">
        <f>Infra!F29</f>
      </c>
      <c r="P54" s="137"/>
      <c r="Q54" s="2"/>
      <c r="R54" s="2"/>
      <c r="S54" s="2"/>
      <c r="T54" s="2"/>
      <c r="U54" s="75"/>
      <c r="V54" s="2"/>
      <c r="W54" s="2"/>
      <c r="X54" s="2"/>
      <c r="Y54" s="75"/>
      <c r="Z54" s="2"/>
      <c r="AA54" s="2"/>
      <c r="AB54" s="2"/>
      <c r="AC54" s="2"/>
    </row>
    <row x14ac:dyDescent="0.25" r="55" customHeight="1" ht="19.5">
      <c r="A55" s="2"/>
      <c r="B55" s="94" t="s">
        <v>73</v>
      </c>
      <c r="C55" s="6"/>
      <c r="D55" s="6"/>
      <c r="E55" s="6"/>
      <c r="F55" s="95">
        <f>Infra!F36</f>
      </c>
      <c r="G55" s="6"/>
      <c r="H55" s="6"/>
      <c r="I55" s="2"/>
      <c r="J55" s="2"/>
      <c r="K55" s="75"/>
      <c r="L55" s="94" t="s">
        <v>68</v>
      </c>
      <c r="M55" s="5"/>
      <c r="N55" s="5"/>
      <c r="O55" s="45">
        <f>Infra!F30</f>
      </c>
      <c r="P55" s="5"/>
      <c r="Q55" s="2"/>
      <c r="R55" s="2"/>
      <c r="S55" s="2"/>
      <c r="T55" s="2"/>
      <c r="U55" s="75"/>
      <c r="V55" s="2"/>
      <c r="W55" s="2"/>
      <c r="X55" s="2"/>
      <c r="Y55" s="75"/>
      <c r="Z55" s="2"/>
      <c r="AA55" s="2"/>
      <c r="AB55" s="2"/>
      <c r="AC55" s="2"/>
    </row>
    <row x14ac:dyDescent="0.25" r="56" customHeight="1" ht="19.5">
      <c r="A56" s="2"/>
      <c r="B56" s="94" t="s">
        <v>74</v>
      </c>
      <c r="C56" s="6"/>
      <c r="D56" s="6"/>
      <c r="E56" s="6"/>
      <c r="F56" s="95">
        <f>Infra!F37</f>
      </c>
      <c r="G56" s="6"/>
      <c r="H56" s="6"/>
      <c r="I56" s="2"/>
      <c r="J56" s="2"/>
      <c r="K56" s="75"/>
      <c r="L56" s="94" t="s">
        <v>33</v>
      </c>
      <c r="M56" s="5"/>
      <c r="N56" s="5"/>
      <c r="O56" s="45">
        <f>Infra!F31</f>
      </c>
      <c r="P56" s="5"/>
      <c r="Q56" s="2"/>
      <c r="R56" s="2"/>
      <c r="S56" s="2"/>
      <c r="T56" s="2"/>
      <c r="U56" s="75"/>
      <c r="V56" s="2"/>
      <c r="W56" s="2"/>
      <c r="X56" s="2"/>
      <c r="Y56" s="75"/>
      <c r="Z56" s="2"/>
      <c r="AA56" s="2"/>
      <c r="AB56" s="2"/>
      <c r="AC56" s="2"/>
    </row>
    <row x14ac:dyDescent="0.25" r="57" customHeight="1" ht="19.5">
      <c r="A57" s="2"/>
      <c r="B57" s="116" t="s">
        <v>75</v>
      </c>
      <c r="C57" s="54"/>
      <c r="D57" s="54"/>
      <c r="E57" s="54"/>
      <c r="F57" s="95">
        <f>Infra!F38</f>
      </c>
      <c r="G57" s="132"/>
      <c r="H57" s="6"/>
      <c r="I57" s="2"/>
      <c r="J57" s="2"/>
      <c r="K57" s="75"/>
      <c r="L57" s="94" t="s">
        <v>69</v>
      </c>
      <c r="M57" s="5"/>
      <c r="N57" s="5"/>
      <c r="O57" s="45">
        <f>Infra!F32</f>
      </c>
      <c r="P57" s="4"/>
      <c r="Q57" s="2"/>
      <c r="R57" s="2"/>
      <c r="S57" s="2"/>
      <c r="T57" s="2"/>
      <c r="U57" s="75"/>
      <c r="V57" s="2"/>
      <c r="W57" s="2"/>
      <c r="X57" s="2"/>
      <c r="Y57" s="75"/>
      <c r="Z57" s="2"/>
      <c r="AA57" s="2"/>
      <c r="AB57" s="2"/>
      <c r="AC57" s="2"/>
    </row>
    <row x14ac:dyDescent="0.25" r="58" customHeight="1" ht="19.5">
      <c r="A58" s="2"/>
      <c r="B58" s="6"/>
      <c r="C58" s="6"/>
      <c r="D58" s="6"/>
      <c r="E58" s="6"/>
      <c r="F58" s="76"/>
      <c r="G58" s="6"/>
      <c r="H58" s="6"/>
      <c r="I58" s="2"/>
      <c r="J58" s="2"/>
      <c r="K58" s="75"/>
      <c r="L58" s="94" t="s">
        <v>70</v>
      </c>
      <c r="M58" s="6"/>
      <c r="N58" s="6"/>
      <c r="O58" s="45">
        <f>Infra!F33</f>
      </c>
      <c r="P58" s="6"/>
      <c r="Q58" s="2"/>
      <c r="R58" s="2"/>
      <c r="S58" s="2"/>
      <c r="T58" s="2"/>
      <c r="U58" s="75"/>
      <c r="V58" s="2"/>
      <c r="W58" s="2"/>
      <c r="X58" s="2"/>
      <c r="Y58" s="75"/>
      <c r="Z58" s="2"/>
      <c r="AA58" s="2"/>
      <c r="AB58" s="2"/>
      <c r="AC58" s="2"/>
    </row>
    <row x14ac:dyDescent="0.25" r="59" customHeight="1" ht="19.5">
      <c r="A59" s="2"/>
      <c r="B59" s="6"/>
      <c r="C59" s="50" t="s">
        <v>76</v>
      </c>
      <c r="D59" s="6"/>
      <c r="E59" s="6"/>
      <c r="F59" s="76"/>
      <c r="G59" s="6"/>
      <c r="H59" s="6"/>
      <c r="I59" s="2"/>
      <c r="J59" s="2"/>
      <c r="K59" s="75"/>
      <c r="L59" s="94" t="s">
        <v>71</v>
      </c>
      <c r="M59" s="6"/>
      <c r="N59" s="6"/>
      <c r="O59" s="45">
        <f>Infra!F34</f>
      </c>
      <c r="P59" s="6"/>
      <c r="Q59" s="2"/>
      <c r="R59" s="2"/>
      <c r="S59" s="2"/>
      <c r="T59" s="2"/>
      <c r="U59" s="75"/>
      <c r="V59" s="2"/>
      <c r="W59" s="2"/>
      <c r="X59" s="2"/>
      <c r="Y59" s="75"/>
      <c r="Z59" s="2"/>
      <c r="AA59" s="2"/>
      <c r="AB59" s="2"/>
      <c r="AC59" s="2"/>
    </row>
    <row x14ac:dyDescent="0.25" r="60" customHeight="1" ht="19.5">
      <c r="A60" s="2"/>
      <c r="B60" s="6"/>
      <c r="C60" s="6"/>
      <c r="D60" s="6"/>
      <c r="E60" s="6"/>
      <c r="F60" s="76"/>
      <c r="G60" s="6"/>
      <c r="H60" s="6"/>
      <c r="I60" s="2"/>
      <c r="J60" s="2"/>
      <c r="K60" s="75"/>
      <c r="L60" s="94" t="s">
        <v>72</v>
      </c>
      <c r="M60" s="2"/>
      <c r="N60" s="2"/>
      <c r="O60" s="45">
        <f>Infra!F35</f>
      </c>
      <c r="P60" s="2"/>
      <c r="Q60" s="2"/>
      <c r="R60" s="2"/>
      <c r="S60" s="2"/>
      <c r="T60" s="2"/>
      <c r="U60" s="75"/>
      <c r="V60" s="2"/>
      <c r="W60" s="2"/>
      <c r="X60" s="2"/>
      <c r="Y60" s="75"/>
      <c r="Z60" s="2"/>
      <c r="AA60" s="2"/>
      <c r="AB60" s="2"/>
      <c r="AC60" s="2"/>
    </row>
    <row x14ac:dyDescent="0.25" r="61" customHeight="1" ht="16.95">
      <c r="A61" s="2"/>
      <c r="B61" s="2"/>
      <c r="C61" s="2"/>
      <c r="D61" s="2"/>
      <c r="E61" s="2"/>
      <c r="F61" s="75"/>
      <c r="G61" s="2"/>
      <c r="H61" s="2"/>
      <c r="I61" s="2"/>
      <c r="J61" s="2"/>
      <c r="K61" s="75"/>
      <c r="L61" s="94" t="s">
        <v>73</v>
      </c>
      <c r="M61" s="2"/>
      <c r="N61" s="2"/>
      <c r="O61" s="45">
        <f>Infra!F36</f>
      </c>
      <c r="P61" s="2"/>
      <c r="Q61" s="2"/>
      <c r="R61" s="2"/>
      <c r="S61" s="2"/>
      <c r="T61" s="2"/>
      <c r="U61" s="75"/>
      <c r="V61" s="2"/>
      <c r="W61" s="2"/>
      <c r="X61" s="2"/>
      <c r="Y61" s="75"/>
      <c r="Z61" s="2"/>
      <c r="AA61" s="2"/>
      <c r="AB61" s="2"/>
      <c r="AC61" s="2"/>
    </row>
    <row x14ac:dyDescent="0.25" r="62" customHeight="1" ht="19.5">
      <c r="A62" s="2"/>
      <c r="B62" s="2"/>
      <c r="C62" s="2"/>
      <c r="D62" s="2"/>
      <c r="E62" s="2"/>
      <c r="F62" s="75"/>
      <c r="G62" s="2"/>
      <c r="H62" s="2"/>
      <c r="I62" s="2"/>
      <c r="J62" s="2"/>
      <c r="K62" s="75"/>
      <c r="L62" s="94" t="s">
        <v>74</v>
      </c>
      <c r="M62" s="2"/>
      <c r="N62" s="2"/>
      <c r="O62" s="45">
        <f>Infra!F37</f>
      </c>
      <c r="P62" s="2"/>
      <c r="Q62" s="2"/>
      <c r="R62" s="2"/>
      <c r="S62" s="2"/>
      <c r="T62" s="2"/>
      <c r="U62" s="75"/>
      <c r="V62" s="2"/>
      <c r="W62" s="2"/>
      <c r="X62" s="2"/>
      <c r="Y62" s="75"/>
      <c r="Z62" s="2"/>
      <c r="AA62" s="2"/>
      <c r="AB62" s="2"/>
      <c r="AC62" s="2"/>
    </row>
    <row x14ac:dyDescent="0.25" r="63" customHeight="1" ht="19.5">
      <c r="A63" s="2"/>
      <c r="B63" s="2"/>
      <c r="C63" s="2"/>
      <c r="D63" s="2"/>
      <c r="E63" s="2"/>
      <c r="F63" s="75"/>
      <c r="G63" s="2"/>
      <c r="H63" s="2"/>
      <c r="I63" s="2"/>
      <c r="J63" s="2"/>
      <c r="K63" s="138"/>
      <c r="L63" s="116" t="s">
        <v>75</v>
      </c>
      <c r="M63" s="54"/>
      <c r="N63" s="54"/>
      <c r="O63" s="45">
        <f>Infra!F38</f>
      </c>
      <c r="P63" s="54"/>
      <c r="Q63" s="2"/>
      <c r="R63" s="2"/>
      <c r="S63" s="2"/>
      <c r="T63" s="2"/>
      <c r="U63" s="75"/>
      <c r="V63" s="2"/>
      <c r="W63" s="2"/>
      <c r="X63" s="2"/>
      <c r="Y63" s="75"/>
      <c r="Z63" s="2"/>
      <c r="AA63" s="2"/>
      <c r="AB63" s="2"/>
      <c r="AC63" s="2"/>
    </row>
    <row x14ac:dyDescent="0.25" r="64" customHeight="1" ht="19.5">
      <c r="A64" s="2"/>
      <c r="B64" s="2"/>
      <c r="C64" s="2"/>
      <c r="D64" s="2"/>
      <c r="E64" s="2"/>
      <c r="F64" s="75"/>
      <c r="G64" s="2"/>
      <c r="H64" s="2"/>
      <c r="I64" s="2"/>
      <c r="J64" s="2"/>
      <c r="K64" s="75"/>
      <c r="L64" s="2"/>
      <c r="M64" s="2"/>
      <c r="N64" s="2"/>
      <c r="O64" s="75"/>
      <c r="P64" s="2"/>
      <c r="Q64" s="2"/>
      <c r="R64" s="2"/>
      <c r="S64" s="2"/>
      <c r="T64" s="2"/>
      <c r="U64" s="75"/>
      <c r="V64" s="2"/>
      <c r="W64" s="2"/>
      <c r="X64" s="2"/>
      <c r="Y64" s="75"/>
      <c r="Z64" s="2"/>
      <c r="AA64" s="2"/>
      <c r="AB64" s="2"/>
      <c r="AC64" s="2"/>
    </row>
    <row x14ac:dyDescent="0.25" r="65" customHeight="1" ht="19.5">
      <c r="A65" s="2"/>
      <c r="B65" s="2"/>
      <c r="C65" s="2"/>
      <c r="D65" s="2"/>
      <c r="E65" s="2"/>
      <c r="F65" s="75"/>
      <c r="G65" s="2"/>
      <c r="H65" s="2"/>
      <c r="I65" s="2"/>
      <c r="J65" s="2"/>
      <c r="K65" s="75"/>
      <c r="L65" s="2"/>
      <c r="M65" s="2"/>
      <c r="N65" s="2"/>
      <c r="O65" s="75"/>
      <c r="P65" s="2"/>
      <c r="Q65" s="2"/>
      <c r="R65" s="2"/>
      <c r="S65" s="2"/>
      <c r="T65" s="2"/>
      <c r="U65" s="75"/>
      <c r="V65" s="2"/>
      <c r="W65" s="2"/>
      <c r="X65" s="2"/>
      <c r="Y65" s="75"/>
      <c r="Z65" s="2"/>
      <c r="AA65" s="2"/>
      <c r="AB65" s="2"/>
      <c r="AC65" s="2"/>
    </row>
    <row x14ac:dyDescent="0.25" r="66" customHeight="1" ht="19.5">
      <c r="A66" s="2"/>
      <c r="B66" s="139"/>
      <c r="C66" s="41"/>
      <c r="D66" s="41"/>
      <c r="E66" s="41"/>
      <c r="F66" s="140"/>
      <c r="G66" s="141"/>
      <c r="H66" s="54"/>
      <c r="I66" s="54"/>
      <c r="J66" s="54"/>
      <c r="K66" s="138"/>
      <c r="L66" s="54"/>
      <c r="M66" s="54"/>
      <c r="N66" s="54"/>
      <c r="O66" s="138"/>
      <c r="P66" s="54"/>
      <c r="Q66" s="54"/>
      <c r="R66" s="54"/>
      <c r="S66" s="54"/>
      <c r="T66" s="54"/>
      <c r="U66" s="138"/>
      <c r="V66" s="54"/>
      <c r="W66" s="2"/>
      <c r="X66" s="2"/>
      <c r="Y66" s="75"/>
      <c r="Z66" s="2"/>
      <c r="AA66" s="2"/>
      <c r="AB66" s="2"/>
      <c r="AC66" s="2"/>
    </row>
    <row x14ac:dyDescent="0.25" r="67" customHeight="1" ht="19.5">
      <c r="A67" s="2"/>
      <c r="B67" s="139"/>
      <c r="C67" s="139"/>
      <c r="D67" s="139"/>
      <c r="E67" s="139"/>
      <c r="F67" s="142"/>
      <c r="G67" s="41"/>
      <c r="H67" s="2"/>
      <c r="I67" s="2"/>
      <c r="J67" s="143"/>
      <c r="K67" s="75"/>
      <c r="L67" s="2"/>
      <c r="M67" s="2"/>
      <c r="N67" s="2"/>
      <c r="O67" s="75"/>
      <c r="P67" s="2"/>
      <c r="Q67" s="2"/>
      <c r="R67" s="2"/>
      <c r="S67" s="2"/>
      <c r="T67" s="2"/>
      <c r="U67" s="75"/>
      <c r="V67" s="2"/>
      <c r="W67" s="2"/>
      <c r="X67" s="2"/>
      <c r="Y67" s="75"/>
      <c r="Z67" s="2"/>
      <c r="AA67" s="2"/>
      <c r="AB67" s="2"/>
      <c r="AC67" s="2"/>
    </row>
    <row x14ac:dyDescent="0.25" r="68" customHeight="1" ht="19.5">
      <c r="A68" s="2"/>
      <c r="B68" s="139"/>
      <c r="C68" s="139"/>
      <c r="D68" s="139"/>
      <c r="E68" s="139"/>
      <c r="F68" s="142"/>
      <c r="G68" s="41"/>
      <c r="H68" s="2"/>
      <c r="I68" s="2"/>
      <c r="J68" s="2"/>
      <c r="K68" s="75"/>
      <c r="L68" s="2"/>
      <c r="M68" s="2"/>
      <c r="N68" s="6"/>
      <c r="O68" s="75"/>
      <c r="P68" s="2"/>
      <c r="Q68" s="2"/>
      <c r="R68" s="2"/>
      <c r="S68" s="5"/>
      <c r="T68" s="2"/>
      <c r="U68" s="144"/>
      <c r="V68" s="2"/>
      <c r="W68" s="2"/>
      <c r="X68" s="2"/>
      <c r="Y68" s="75"/>
      <c r="Z68" s="2"/>
      <c r="AA68" s="2"/>
      <c r="AB68" s="2"/>
      <c r="AC68" s="2"/>
    </row>
    <row x14ac:dyDescent="0.25" r="69" customHeight="1" ht="19.5">
      <c r="A69" s="2"/>
      <c r="B69" s="2"/>
      <c r="C69" s="2"/>
      <c r="D69" s="2"/>
      <c r="E69" s="2"/>
      <c r="F69" s="75"/>
      <c r="G69" s="2"/>
      <c r="H69" s="2"/>
      <c r="I69" s="2"/>
      <c r="J69" s="2"/>
      <c r="K69" s="75"/>
      <c r="L69" s="2"/>
      <c r="M69" s="6"/>
      <c r="N69" s="6"/>
      <c r="O69" s="76"/>
      <c r="P69" s="6"/>
      <c r="Q69" s="6"/>
      <c r="R69" s="6"/>
      <c r="S69" s="6"/>
      <c r="T69" s="6"/>
      <c r="U69" s="76"/>
      <c r="V69" s="6"/>
      <c r="W69" s="6"/>
      <c r="X69" s="6"/>
      <c r="Y69" s="76"/>
      <c r="Z69" s="6"/>
      <c r="AA69" s="6"/>
      <c r="AB69" s="6"/>
      <c r="AC69" s="6"/>
    </row>
    <row x14ac:dyDescent="0.25" r="70" customHeight="1" ht="19.5">
      <c r="A70" s="2"/>
      <c r="B70" s="2"/>
      <c r="C70" s="2"/>
      <c r="D70" s="2"/>
      <c r="E70" s="2"/>
      <c r="F70" s="75"/>
      <c r="G70" s="2"/>
      <c r="H70" s="2"/>
      <c r="I70" s="2"/>
      <c r="J70" s="2"/>
      <c r="K70" s="75"/>
      <c r="L70" s="2"/>
      <c r="M70" s="2"/>
      <c r="N70" s="6"/>
      <c r="O70" s="75"/>
      <c r="P70" s="2"/>
      <c r="Q70" s="2"/>
      <c r="R70" s="2"/>
      <c r="S70" s="2"/>
      <c r="T70" s="2"/>
      <c r="U70" s="75"/>
      <c r="V70" s="2"/>
      <c r="W70" s="2"/>
      <c r="X70" s="2"/>
      <c r="Y70" s="75"/>
      <c r="Z70" s="2"/>
      <c r="AA70" s="2"/>
      <c r="AB70" s="2"/>
      <c r="AC70" s="2"/>
    </row>
    <row x14ac:dyDescent="0.25" r="71" customHeight="1" ht="19.5">
      <c r="A71" s="2"/>
      <c r="B71" s="2"/>
      <c r="C71" s="2"/>
      <c r="D71" s="2"/>
      <c r="E71" s="2"/>
      <c r="F71" s="75"/>
      <c r="G71" s="2"/>
      <c r="H71" s="2"/>
      <c r="I71" s="2"/>
      <c r="J71" s="2"/>
      <c r="K71" s="75"/>
      <c r="L71" s="2"/>
      <c r="M71" s="2"/>
      <c r="N71" s="6"/>
      <c r="O71" s="75"/>
      <c r="P71" s="2"/>
      <c r="Q71" s="2"/>
      <c r="R71" s="2"/>
      <c r="S71" s="2"/>
      <c r="T71" s="2"/>
      <c r="U71" s="75"/>
      <c r="V71" s="5"/>
      <c r="W71" s="2"/>
      <c r="X71" s="2"/>
      <c r="Y71" s="75"/>
      <c r="Z71" s="2"/>
      <c r="AA71" s="2"/>
      <c r="AB71" s="2"/>
      <c r="AC71" s="2"/>
    </row>
    <row x14ac:dyDescent="0.25" r="72" customHeight="1" ht="19.5">
      <c r="A72" s="2"/>
      <c r="B72" s="2"/>
      <c r="C72" s="2"/>
      <c r="D72" s="2"/>
      <c r="E72" s="2"/>
      <c r="F72" s="75"/>
      <c r="G72" s="2"/>
      <c r="H72" s="2"/>
      <c r="I72" s="2"/>
      <c r="J72" s="2"/>
      <c r="K72" s="75"/>
      <c r="L72" s="2"/>
      <c r="M72" s="2"/>
      <c r="N72" s="6"/>
      <c r="O72" s="75"/>
      <c r="P72" s="2"/>
      <c r="Q72" s="2"/>
      <c r="R72" s="2"/>
      <c r="S72" s="2"/>
      <c r="T72" s="2"/>
      <c r="U72" s="75"/>
      <c r="V72" s="5"/>
      <c r="W72" s="2"/>
      <c r="X72" s="2"/>
      <c r="Y72" s="75"/>
      <c r="Z72" s="2"/>
      <c r="AA72" s="2"/>
      <c r="AB72" s="2"/>
      <c r="AC72" s="2"/>
    </row>
    <row x14ac:dyDescent="0.25" r="73" customHeight="1" ht="19.5">
      <c r="A73" s="2"/>
      <c r="B73" s="2"/>
      <c r="C73" s="2"/>
      <c r="D73" s="2"/>
      <c r="E73" s="2"/>
      <c r="F73" s="75"/>
      <c r="G73" s="2"/>
      <c r="H73" s="2"/>
      <c r="I73" s="2"/>
      <c r="J73" s="2"/>
      <c r="K73" s="75"/>
      <c r="L73" s="2"/>
      <c r="M73" s="2"/>
      <c r="N73" s="6"/>
      <c r="O73" s="75"/>
      <c r="P73" s="2"/>
      <c r="Q73" s="2"/>
      <c r="R73" s="2"/>
      <c r="S73" s="2"/>
      <c r="T73" s="2"/>
      <c r="U73" s="75"/>
      <c r="V73" s="2"/>
      <c r="W73" s="2"/>
      <c r="X73" s="2"/>
      <c r="Y73" s="75"/>
      <c r="Z73" s="2"/>
      <c r="AA73" s="2"/>
      <c r="AB73" s="2"/>
      <c r="AC73" s="2"/>
    </row>
    <row x14ac:dyDescent="0.25" r="74" customHeight="1" ht="19.5">
      <c r="A74" s="2"/>
      <c r="B74" s="2"/>
      <c r="C74" s="2"/>
      <c r="D74" s="2"/>
      <c r="E74" s="2"/>
      <c r="F74" s="75"/>
      <c r="G74" s="2"/>
      <c r="H74" s="2"/>
      <c r="I74" s="2"/>
      <c r="J74" s="2"/>
      <c r="K74" s="75"/>
      <c r="L74" s="2"/>
      <c r="M74" s="2"/>
      <c r="N74" s="6"/>
      <c r="O74" s="75"/>
      <c r="P74" s="2"/>
      <c r="Q74" s="2"/>
      <c r="R74" s="2"/>
      <c r="S74" s="2"/>
      <c r="T74" s="2"/>
      <c r="U74" s="75"/>
      <c r="V74" s="2"/>
      <c r="W74" s="2"/>
      <c r="X74" s="2"/>
      <c r="Y74" s="75"/>
      <c r="Z74" s="2"/>
      <c r="AA74" s="2"/>
      <c r="AB74" s="2"/>
      <c r="AC74" s="2"/>
    </row>
    <row x14ac:dyDescent="0.25" r="75" customHeight="1" ht="19.5">
      <c r="A75" s="2"/>
      <c r="B75" s="2"/>
      <c r="C75" s="2"/>
      <c r="D75" s="2"/>
      <c r="E75" s="2"/>
      <c r="F75" s="75"/>
      <c r="G75" s="2"/>
      <c r="H75" s="2"/>
      <c r="I75" s="2"/>
      <c r="J75" s="2"/>
      <c r="K75" s="145"/>
      <c r="L75" s="5"/>
      <c r="M75" s="2"/>
      <c r="N75" s="6"/>
      <c r="O75" s="75"/>
      <c r="P75" s="2"/>
      <c r="Q75" s="2"/>
      <c r="R75" s="2"/>
      <c r="S75" s="2"/>
      <c r="T75" s="2"/>
      <c r="U75" s="75"/>
      <c r="V75" s="2"/>
      <c r="W75" s="2"/>
      <c r="X75" s="2"/>
      <c r="Y75" s="75"/>
      <c r="Z75" s="2"/>
      <c r="AA75" s="2"/>
      <c r="AB75" s="2"/>
      <c r="AC75" s="2"/>
    </row>
    <row x14ac:dyDescent="0.25" r="76" customHeight="1" ht="19.5">
      <c r="A76" s="2"/>
      <c r="B76" s="2"/>
      <c r="C76" s="2"/>
      <c r="D76" s="2"/>
      <c r="E76" s="2"/>
      <c r="F76" s="75"/>
      <c r="G76" s="2"/>
      <c r="H76" s="2"/>
      <c r="I76" s="2"/>
      <c r="J76" s="2"/>
      <c r="K76" s="75"/>
      <c r="L76" s="2"/>
      <c r="M76" s="2"/>
      <c r="N76" s="6"/>
      <c r="O76" s="75"/>
      <c r="P76" s="2"/>
      <c r="Q76" s="2"/>
      <c r="R76" s="2"/>
      <c r="S76" s="2"/>
      <c r="T76" s="2"/>
      <c r="U76" s="75"/>
      <c r="V76" s="60"/>
      <c r="W76" s="2"/>
      <c r="X76" s="2"/>
      <c r="Y76" s="75"/>
      <c r="Z76" s="2"/>
      <c r="AA76" s="2"/>
      <c r="AB76" s="2"/>
      <c r="AC76" s="2"/>
    </row>
    <row x14ac:dyDescent="0.25" r="77" customHeight="1" ht="19.5">
      <c r="A77" s="2"/>
      <c r="B77" s="2"/>
      <c r="C77" s="2"/>
      <c r="D77" s="2"/>
      <c r="E77" s="2"/>
      <c r="F77" s="75"/>
      <c r="G77" s="2"/>
      <c r="H77" s="2"/>
      <c r="I77" s="2"/>
      <c r="J77" s="2"/>
      <c r="K77" s="75"/>
      <c r="L77" s="2"/>
      <c r="M77" s="2"/>
      <c r="N77" s="6"/>
      <c r="O77" s="75"/>
      <c r="P77" s="2"/>
      <c r="Q77" s="2"/>
      <c r="R77" s="2"/>
      <c r="S77" s="2"/>
      <c r="T77" s="2"/>
      <c r="U77" s="75"/>
      <c r="V77" s="2"/>
      <c r="W77" s="2"/>
      <c r="X77" s="2"/>
      <c r="Y77" s="75"/>
      <c r="Z77" s="2"/>
      <c r="AA77" s="2"/>
      <c r="AB77" s="2"/>
      <c r="AC77" s="2"/>
    </row>
    <row x14ac:dyDescent="0.25" r="78" customHeight="1" ht="19.5">
      <c r="A78" s="2"/>
      <c r="B78" s="2"/>
      <c r="C78" s="2"/>
      <c r="D78" s="2"/>
      <c r="E78" s="2"/>
      <c r="F78" s="75"/>
      <c r="G78" s="2"/>
      <c r="H78" s="2"/>
      <c r="I78" s="2"/>
      <c r="J78" s="2"/>
      <c r="K78" s="75"/>
      <c r="L78" s="2"/>
      <c r="M78" s="2"/>
      <c r="N78" s="6"/>
      <c r="O78" s="75"/>
      <c r="P78" s="2"/>
      <c r="Q78" s="2"/>
      <c r="R78" s="2"/>
      <c r="S78" s="2"/>
      <c r="T78" s="2"/>
      <c r="U78" s="75"/>
      <c r="V78" s="2"/>
      <c r="W78" s="2"/>
      <c r="X78" s="2"/>
      <c r="Y78" s="75"/>
      <c r="Z78" s="2"/>
      <c r="AA78" s="2"/>
      <c r="AB78" s="2"/>
      <c r="AC78" s="2"/>
    </row>
    <row x14ac:dyDescent="0.25" r="79" customHeight="1" ht="19.5">
      <c r="A79" s="2"/>
      <c r="B79" s="2"/>
      <c r="C79" s="2"/>
      <c r="D79" s="2"/>
      <c r="E79" s="2"/>
      <c r="F79" s="75"/>
      <c r="G79" s="2"/>
      <c r="H79" s="2"/>
      <c r="I79" s="2"/>
      <c r="J79" s="2"/>
      <c r="K79" s="75"/>
      <c r="L79" s="2"/>
      <c r="M79" s="2"/>
      <c r="N79" s="6"/>
      <c r="O79" s="75"/>
      <c r="P79" s="2"/>
      <c r="Q79" s="2"/>
      <c r="R79" s="2"/>
      <c r="S79" s="2"/>
      <c r="T79" s="2"/>
      <c r="U79" s="75"/>
      <c r="V79" s="2"/>
      <c r="W79" s="2"/>
      <c r="X79" s="2"/>
      <c r="Y79" s="75"/>
      <c r="Z79" s="2"/>
      <c r="AA79" s="2"/>
      <c r="AB79" s="2"/>
      <c r="AC79" s="2"/>
    </row>
    <row x14ac:dyDescent="0.25" r="80" customHeight="1" ht="19.5">
      <c r="A80" s="2"/>
      <c r="B80" s="2"/>
      <c r="C80" s="2"/>
      <c r="D80" s="2"/>
      <c r="E80" s="2"/>
      <c r="F80" s="75"/>
      <c r="G80" s="2"/>
      <c r="H80" s="2"/>
      <c r="I80" s="2"/>
      <c r="J80" s="2"/>
      <c r="K80" s="75"/>
      <c r="L80" s="2"/>
      <c r="M80" s="2"/>
      <c r="N80" s="2"/>
      <c r="O80" s="75"/>
      <c r="P80" s="2"/>
      <c r="Q80" s="2"/>
      <c r="R80" s="6"/>
      <c r="S80" s="2"/>
      <c r="T80" s="2"/>
      <c r="U80" s="75"/>
      <c r="V80" s="2"/>
      <c r="W80" s="2"/>
      <c r="X80" s="2"/>
      <c r="Y80" s="75"/>
      <c r="Z80" s="2"/>
      <c r="AA80" s="2"/>
      <c r="AB80" s="2"/>
      <c r="AC80" s="2"/>
    </row>
    <row x14ac:dyDescent="0.25" r="81" customHeight="1" ht="19.5">
      <c r="A81" s="2"/>
      <c r="B81" s="2"/>
      <c r="C81" s="2"/>
      <c r="D81" s="2"/>
      <c r="E81" s="2"/>
      <c r="F81" s="75"/>
      <c r="G81" s="2"/>
      <c r="H81" s="2"/>
      <c r="I81" s="2"/>
      <c r="J81" s="2"/>
      <c r="K81" s="75"/>
      <c r="L81" s="2"/>
      <c r="M81" s="2"/>
      <c r="N81" s="2"/>
      <c r="O81" s="75"/>
      <c r="P81" s="2"/>
      <c r="Q81" s="2"/>
      <c r="R81" s="2"/>
      <c r="S81" s="2"/>
      <c r="T81" s="2"/>
      <c r="U81" s="75"/>
      <c r="V81" s="2"/>
      <c r="W81" s="2"/>
      <c r="X81" s="2"/>
      <c r="Y81" s="75"/>
      <c r="Z81" s="2"/>
      <c r="AA81" s="2"/>
      <c r="AB81" s="2"/>
      <c r="AC81" s="2"/>
    </row>
    <row x14ac:dyDescent="0.25" r="82" customHeight="1" ht="19.5">
      <c r="A82" s="2"/>
      <c r="B82" s="2"/>
      <c r="C82" s="2"/>
      <c r="D82" s="2"/>
      <c r="E82" s="2"/>
      <c r="F82" s="75"/>
      <c r="G82" s="2"/>
      <c r="H82" s="2"/>
      <c r="I82" s="2"/>
      <c r="J82" s="2"/>
      <c r="K82" s="75"/>
      <c r="L82" s="2"/>
      <c r="M82" s="2"/>
      <c r="N82" s="2"/>
      <c r="O82" s="75"/>
      <c r="P82" s="2"/>
      <c r="Q82" s="2"/>
      <c r="R82" s="2"/>
      <c r="S82" s="2"/>
      <c r="T82" s="2"/>
      <c r="U82" s="75"/>
      <c r="V82" s="2"/>
      <c r="W82" s="2"/>
      <c r="X82" s="2"/>
      <c r="Y82" s="75"/>
      <c r="Z82" s="2"/>
      <c r="AA82" s="2"/>
      <c r="AB82" s="2"/>
      <c r="AC82" s="2"/>
    </row>
    <row x14ac:dyDescent="0.25" r="83" customHeight="1" ht="19.5">
      <c r="A83" s="2"/>
      <c r="B83" s="146" t="s">
        <v>16</v>
      </c>
      <c r="C83" s="147"/>
      <c r="D83" s="148"/>
      <c r="E83" s="148"/>
      <c r="F83" s="149">
        <f>F84+F88+F95+F92</f>
      </c>
      <c r="G83" s="150" t="s">
        <v>25</v>
      </c>
      <c r="H83" s="2"/>
      <c r="I83" s="2"/>
      <c r="J83" s="2"/>
      <c r="K83" s="151" t="s">
        <v>26</v>
      </c>
      <c r="L83" s="152"/>
      <c r="M83" s="152"/>
      <c r="N83" s="152"/>
      <c r="O83" s="153">
        <f>Liikenne!F47</f>
      </c>
      <c r="P83" s="154" t="s">
        <v>25</v>
      </c>
      <c r="Q83" s="2"/>
      <c r="R83" s="2"/>
      <c r="S83" s="2"/>
      <c r="T83" s="155" t="s">
        <v>66</v>
      </c>
      <c r="U83" s="156"/>
      <c r="V83" s="67"/>
      <c r="W83" s="67"/>
      <c r="X83" s="67"/>
      <c r="Y83" s="157">
        <f>Y84+Y85+Y86+Y87</f>
      </c>
      <c r="Z83" s="155" t="s">
        <v>25</v>
      </c>
      <c r="AA83" s="2"/>
      <c r="AB83" s="2"/>
      <c r="AC83" s="2"/>
    </row>
    <row x14ac:dyDescent="0.25" r="84" customHeight="1" ht="19.5">
      <c r="A84" s="2"/>
      <c r="B84" s="158">
        <f>Ruoka!C7</f>
      </c>
      <c r="C84" s="159"/>
      <c r="D84" s="160"/>
      <c r="E84" s="160"/>
      <c r="F84" s="161">
        <f>Ruoka!E11</f>
      </c>
      <c r="G84" s="6"/>
      <c r="H84" s="2"/>
      <c r="I84" s="2"/>
      <c r="J84" s="2"/>
      <c r="K84" s="162" t="s">
        <v>37</v>
      </c>
      <c r="L84" s="163"/>
      <c r="M84" s="164"/>
      <c r="N84" s="160"/>
      <c r="O84" s="161">
        <f>Liikenne!F13</f>
      </c>
      <c r="P84" s="165"/>
      <c r="Q84" s="2"/>
      <c r="R84" s="2"/>
      <c r="S84" s="2"/>
      <c r="T84" s="94" t="s">
        <v>67</v>
      </c>
      <c r="U84" s="166"/>
      <c r="V84" s="28"/>
      <c r="W84" s="28"/>
      <c r="X84" s="28"/>
      <c r="Y84" s="45">
        <f>Infra!F29</f>
      </c>
      <c r="Z84" s="6"/>
      <c r="AA84" s="2"/>
      <c r="AB84" s="2"/>
      <c r="AC84" s="2"/>
    </row>
    <row x14ac:dyDescent="0.25" r="85" customHeight="1" ht="19.5">
      <c r="A85" s="2"/>
      <c r="B85" s="6"/>
      <c r="C85" s="167">
        <f>Ruoka!E7</f>
      </c>
      <c r="D85" s="86"/>
      <c r="E85" s="6"/>
      <c r="F85" s="168">
        <f>Ruoka!F7*Ruoka!D7</f>
      </c>
      <c r="G85" s="2"/>
      <c r="H85" s="2"/>
      <c r="I85" s="2"/>
      <c r="J85" s="2"/>
      <c r="K85" s="76"/>
      <c r="L85" s="94" t="s">
        <v>77</v>
      </c>
      <c r="M85" s="6"/>
      <c r="N85" s="169"/>
      <c r="O85" s="170">
        <f>Liikenne!F9</f>
      </c>
      <c r="P85" s="4"/>
      <c r="Q85" s="2"/>
      <c r="R85" s="2"/>
      <c r="S85" s="2"/>
      <c r="T85" s="94" t="s">
        <v>68</v>
      </c>
      <c r="U85" s="145"/>
      <c r="V85" s="5"/>
      <c r="W85" s="5"/>
      <c r="X85" s="5"/>
      <c r="Y85" s="45">
        <f>Infra!F30</f>
      </c>
      <c r="Z85" s="2"/>
      <c r="AA85" s="2"/>
      <c r="AB85" s="2"/>
      <c r="AC85" s="2"/>
    </row>
    <row x14ac:dyDescent="0.25" r="86" customHeight="1" ht="19.5">
      <c r="A86" s="2"/>
      <c r="B86" s="6"/>
      <c r="C86" s="167">
        <f>Ruoka!E8</f>
      </c>
      <c r="D86" s="86"/>
      <c r="E86" s="6"/>
      <c r="F86" s="97">
        <f>Ruoka!F8*Ruoka!D7</f>
      </c>
      <c r="G86" s="2"/>
      <c r="H86" s="2"/>
      <c r="I86" s="2"/>
      <c r="J86" s="2"/>
      <c r="K86" s="76"/>
      <c r="L86" s="94" t="s">
        <v>78</v>
      </c>
      <c r="M86" s="6"/>
      <c r="N86" s="169"/>
      <c r="O86" s="171">
        <f>Liikenne!F10</f>
      </c>
      <c r="P86" s="5"/>
      <c r="Q86" s="2"/>
      <c r="R86" s="2"/>
      <c r="S86" s="2"/>
      <c r="T86" s="94" t="s">
        <v>33</v>
      </c>
      <c r="U86" s="145"/>
      <c r="V86" s="5"/>
      <c r="W86" s="5"/>
      <c r="X86" s="5"/>
      <c r="Y86" s="45">
        <f>Infra!F31</f>
      </c>
      <c r="Z86" s="2"/>
      <c r="AA86" s="2"/>
      <c r="AB86" s="2"/>
      <c r="AC86" s="2"/>
    </row>
    <row x14ac:dyDescent="0.25" r="87" customHeight="1" ht="19.5">
      <c r="A87" s="2"/>
      <c r="B87" s="6"/>
      <c r="C87" s="86" t="s">
        <v>32</v>
      </c>
      <c r="D87" s="86"/>
      <c r="E87" s="6"/>
      <c r="F87" s="98">
        <f>(Ruoka!F9+Ruoka!F10)*Ruoka!D7</f>
      </c>
      <c r="G87" s="2"/>
      <c r="H87" s="2"/>
      <c r="I87" s="2"/>
      <c r="J87" s="2"/>
      <c r="K87" s="76"/>
      <c r="L87" s="86" t="s">
        <v>79</v>
      </c>
      <c r="M87" s="6"/>
      <c r="N87" s="169"/>
      <c r="O87" s="171">
        <f>Liikenne!F11</f>
      </c>
      <c r="P87" s="5"/>
      <c r="Q87" s="2"/>
      <c r="R87" s="2"/>
      <c r="S87" s="2"/>
      <c r="T87" s="94" t="s">
        <v>69</v>
      </c>
      <c r="U87" s="145"/>
      <c r="V87" s="5"/>
      <c r="W87" s="5"/>
      <c r="X87" s="5"/>
      <c r="Y87" s="45">
        <f>Infra!F32</f>
      </c>
      <c r="Z87" s="2"/>
      <c r="AA87" s="2"/>
      <c r="AB87" s="2"/>
      <c r="AC87" s="2"/>
    </row>
    <row x14ac:dyDescent="0.25" r="88" customHeight="1" ht="19.5">
      <c r="A88" s="2"/>
      <c r="B88" s="172">
        <f>Ruoka!C13</f>
      </c>
      <c r="C88" s="100"/>
      <c r="D88" s="100"/>
      <c r="E88" s="43"/>
      <c r="F88" s="161">
        <f>Ruoka!E17</f>
      </c>
      <c r="G88" s="2"/>
      <c r="H88" s="2"/>
      <c r="I88" s="2"/>
      <c r="J88" s="2"/>
      <c r="K88" s="76"/>
      <c r="L88" s="86" t="s">
        <v>80</v>
      </c>
      <c r="M88" s="6"/>
      <c r="N88" s="169"/>
      <c r="O88" s="171">
        <f>Liikenne!F12</f>
      </c>
      <c r="P88" s="4"/>
      <c r="Q88" s="2"/>
      <c r="R88" s="2"/>
      <c r="S88" s="2"/>
      <c r="T88" s="94" t="s">
        <v>70</v>
      </c>
      <c r="U88" s="76"/>
      <c r="V88" s="6"/>
      <c r="W88" s="6"/>
      <c r="X88" s="6"/>
      <c r="Y88" s="45">
        <f>Infra!F33</f>
      </c>
      <c r="Z88" s="2"/>
      <c r="AA88" s="2"/>
      <c r="AB88" s="2"/>
      <c r="AC88" s="2"/>
    </row>
    <row x14ac:dyDescent="0.25" r="89" customHeight="1" ht="19.5">
      <c r="A89" s="2"/>
      <c r="B89" s="6"/>
      <c r="C89" s="167">
        <f>Ruoka!E13</f>
      </c>
      <c r="D89" s="86"/>
      <c r="E89" s="6"/>
      <c r="F89" s="168">
        <f>Ruoka!F13*Ruoka!D13</f>
      </c>
      <c r="G89" s="2"/>
      <c r="H89" s="2"/>
      <c r="I89" s="2"/>
      <c r="J89" s="2"/>
      <c r="K89" s="173" t="s">
        <v>44</v>
      </c>
      <c r="L89" s="174"/>
      <c r="M89" s="56"/>
      <c r="N89" s="175"/>
      <c r="O89" s="176">
        <f>Liikenne!F42</f>
      </c>
      <c r="P89" s="2"/>
      <c r="Q89" s="2"/>
      <c r="R89" s="2"/>
      <c r="S89" s="2"/>
      <c r="T89" s="94" t="s">
        <v>71</v>
      </c>
      <c r="U89" s="76"/>
      <c r="V89" s="6"/>
      <c r="W89" s="6"/>
      <c r="X89" s="6"/>
      <c r="Y89" s="45">
        <f>Infra!F34</f>
      </c>
      <c r="Z89" s="2"/>
      <c r="AA89" s="2"/>
      <c r="AB89" s="2"/>
      <c r="AC89" s="2"/>
    </row>
    <row x14ac:dyDescent="0.25" r="90" customHeight="1" ht="19.5">
      <c r="A90" s="2"/>
      <c r="B90" s="6"/>
      <c r="C90" s="167">
        <f>Ruoka!E14</f>
      </c>
      <c r="D90" s="86"/>
      <c r="E90" s="6"/>
      <c r="F90" s="97">
        <f>Ruoka!F14*Ruoka!D13</f>
      </c>
      <c r="G90" s="2"/>
      <c r="H90" s="2"/>
      <c r="I90" s="2"/>
      <c r="J90" s="2"/>
      <c r="K90" s="162" t="s">
        <v>46</v>
      </c>
      <c r="L90" s="177"/>
      <c r="M90" s="178"/>
      <c r="N90" s="179"/>
      <c r="O90" s="180">
        <f>Liikenne!F26+Liikenne!F22</f>
      </c>
      <c r="P90" s="2"/>
      <c r="Q90" s="2"/>
      <c r="R90" s="2"/>
      <c r="S90" s="2"/>
      <c r="T90" s="94" t="s">
        <v>72</v>
      </c>
      <c r="U90" s="75"/>
      <c r="V90" s="2"/>
      <c r="W90" s="2"/>
      <c r="X90" s="2"/>
      <c r="Y90" s="45">
        <f>Infra!F35</f>
      </c>
      <c r="Z90" s="2"/>
      <c r="AA90" s="2"/>
      <c r="AB90" s="2"/>
      <c r="AC90" s="2"/>
    </row>
    <row x14ac:dyDescent="0.25" r="91" customHeight="1" ht="19.5">
      <c r="A91" s="2"/>
      <c r="B91" s="6"/>
      <c r="C91" s="86" t="s">
        <v>32</v>
      </c>
      <c r="D91" s="86"/>
      <c r="E91" s="6"/>
      <c r="F91" s="98">
        <f>(Ruoka!F15+Ruoka!F16)*Ruoka!D13</f>
      </c>
      <c r="G91" s="2"/>
      <c r="H91" s="2"/>
      <c r="I91" s="2"/>
      <c r="J91" s="2"/>
      <c r="K91" s="76"/>
      <c r="L91" s="6" t="s">
        <v>81</v>
      </c>
      <c r="M91" s="6"/>
      <c r="N91" s="169"/>
      <c r="O91" s="170">
        <f>Liikenne!F22</f>
      </c>
      <c r="P91" s="2"/>
      <c r="Q91" s="2"/>
      <c r="R91" s="2"/>
      <c r="S91" s="2"/>
      <c r="T91" s="94" t="s">
        <v>73</v>
      </c>
      <c r="U91" s="75"/>
      <c r="V91" s="2"/>
      <c r="W91" s="2"/>
      <c r="X91" s="2"/>
      <c r="Y91" s="45">
        <f>Infra!F36</f>
      </c>
      <c r="Z91" s="2"/>
      <c r="AA91" s="2"/>
      <c r="AB91" s="2"/>
      <c r="AC91" s="2"/>
    </row>
    <row x14ac:dyDescent="0.25" r="92" customHeight="1" ht="19.5">
      <c r="A92" s="2"/>
      <c r="B92" s="172">
        <f>Ruoka!C19</f>
      </c>
      <c r="C92" s="100"/>
      <c r="D92" s="100"/>
      <c r="E92" s="54"/>
      <c r="F92" s="181">
        <f>Ruoka!E21</f>
      </c>
      <c r="G92" s="2"/>
      <c r="H92" s="2"/>
      <c r="I92" s="2"/>
      <c r="J92" s="2"/>
      <c r="K92" s="76"/>
      <c r="L92" s="6" t="s">
        <v>82</v>
      </c>
      <c r="M92" s="6"/>
      <c r="N92" s="169"/>
      <c r="O92" s="182">
        <f>Liikenne!F26</f>
      </c>
      <c r="P92" s="2"/>
      <c r="Q92" s="2"/>
      <c r="R92" s="2"/>
      <c r="S92" s="2"/>
      <c r="T92" s="94" t="s">
        <v>74</v>
      </c>
      <c r="U92" s="75"/>
      <c r="V92" s="2"/>
      <c r="W92" s="2"/>
      <c r="X92" s="2"/>
      <c r="Y92" s="45">
        <f>Infra!F37</f>
      </c>
      <c r="Z92" s="2"/>
      <c r="AA92" s="2"/>
      <c r="AB92" s="2"/>
      <c r="AC92" s="2"/>
    </row>
    <row x14ac:dyDescent="0.25" r="93" customHeight="1" ht="19.5">
      <c r="A93" s="2"/>
      <c r="B93" s="6"/>
      <c r="C93" s="167">
        <f>Ruoka!E19</f>
      </c>
      <c r="D93" s="86"/>
      <c r="E93" s="6"/>
      <c r="F93" s="168">
        <f>Ruoka!F19*Ruoka!D19</f>
      </c>
      <c r="G93" s="2"/>
      <c r="H93" s="2"/>
      <c r="I93" s="2"/>
      <c r="J93" s="2"/>
      <c r="K93" s="173" t="s">
        <v>50</v>
      </c>
      <c r="L93" s="174"/>
      <c r="M93" s="56"/>
      <c r="N93" s="175"/>
      <c r="O93" s="180">
        <f>Liikenne!F37</f>
      </c>
      <c r="P93" s="2"/>
      <c r="Q93" s="2"/>
      <c r="R93" s="2"/>
      <c r="S93" s="2"/>
      <c r="T93" s="116" t="s">
        <v>75</v>
      </c>
      <c r="U93" s="138"/>
      <c r="V93" s="54"/>
      <c r="W93" s="54"/>
      <c r="X93" s="54"/>
      <c r="Y93" s="45">
        <f>Infra!F38</f>
      </c>
      <c r="Z93" s="132"/>
      <c r="AA93" s="2"/>
      <c r="AB93" s="2"/>
      <c r="AC93" s="2"/>
    </row>
    <row x14ac:dyDescent="0.25" r="94" customHeight="1" ht="19.5">
      <c r="A94" s="2"/>
      <c r="B94" s="6"/>
      <c r="C94" s="112">
        <f>Ruoka!E20</f>
      </c>
      <c r="D94" s="6"/>
      <c r="E94" s="6"/>
      <c r="F94" s="98">
        <f>Ruoka!F20*Ruoka!D19</f>
      </c>
      <c r="G94" s="2"/>
      <c r="H94" s="2"/>
      <c r="I94" s="2"/>
      <c r="J94" s="2"/>
      <c r="K94" s="162" t="s">
        <v>51</v>
      </c>
      <c r="L94" s="177"/>
      <c r="M94" s="178"/>
      <c r="N94" s="179"/>
      <c r="O94" s="180">
        <f>Liikenne!F40</f>
      </c>
      <c r="P94" s="6"/>
      <c r="Q94" s="2"/>
      <c r="R94" s="2"/>
      <c r="S94" s="2"/>
      <c r="T94" s="2"/>
      <c r="U94" s="75"/>
      <c r="V94" s="2"/>
      <c r="W94" s="2"/>
      <c r="X94" s="2"/>
      <c r="Y94" s="75"/>
      <c r="Z94" s="2"/>
      <c r="AA94" s="2"/>
      <c r="AB94" s="2"/>
      <c r="AC94" s="2"/>
    </row>
    <row x14ac:dyDescent="0.25" r="95" customHeight="1" ht="19.5">
      <c r="A95" s="2"/>
      <c r="B95" s="183" t="s">
        <v>30</v>
      </c>
      <c r="C95" s="100"/>
      <c r="D95" s="100"/>
      <c r="E95" s="54"/>
      <c r="F95" s="181">
        <f>Ruoka!E26</f>
      </c>
      <c r="G95" s="2"/>
      <c r="H95" s="2"/>
      <c r="I95" s="2"/>
      <c r="J95" s="6" t="s">
        <v>35</v>
      </c>
      <c r="K95" s="173" t="s">
        <v>52</v>
      </c>
      <c r="L95" s="174"/>
      <c r="M95" s="56"/>
      <c r="N95" s="56"/>
      <c r="O95" s="184">
        <f>Liikenne!F43</f>
      </c>
      <c r="P95" s="43"/>
      <c r="Q95" s="2"/>
      <c r="R95" s="2"/>
      <c r="S95" s="2"/>
      <c r="T95" s="2"/>
      <c r="U95" s="75"/>
      <c r="V95" s="2"/>
      <c r="W95" s="2"/>
      <c r="X95" s="2"/>
      <c r="Y95" s="75"/>
      <c r="Z95" s="2"/>
      <c r="AA95" s="2"/>
      <c r="AB95" s="2"/>
      <c r="AC95" s="2"/>
    </row>
    <row x14ac:dyDescent="0.25" r="96" customHeight="1" ht="19.5">
      <c r="A96" s="2"/>
      <c r="B96" s="174" t="s">
        <v>32</v>
      </c>
      <c r="C96" s="100"/>
      <c r="D96" s="54"/>
      <c r="E96" s="54"/>
      <c r="F96" s="185">
        <f>Ruoka!E32</f>
      </c>
      <c r="G96" s="54"/>
      <c r="H96" s="2"/>
      <c r="I96" s="2"/>
      <c r="J96" s="6" t="s">
        <v>35</v>
      </c>
      <c r="K96" s="75"/>
      <c r="L96" s="5"/>
      <c r="M96" s="6"/>
      <c r="N96" s="6"/>
      <c r="O96" s="75"/>
      <c r="P96" s="2"/>
      <c r="Q96" s="2"/>
      <c r="R96" s="2"/>
      <c r="S96" s="2"/>
      <c r="T96" s="2"/>
      <c r="U96" s="75"/>
      <c r="V96" s="2"/>
      <c r="W96" s="2"/>
      <c r="X96" s="2"/>
      <c r="Y96" s="75"/>
      <c r="Z96" s="2"/>
      <c r="AA96" s="2"/>
      <c r="AB96" s="2"/>
      <c r="AC96" s="2"/>
    </row>
    <row x14ac:dyDescent="0.25" r="97" customHeight="1" ht="19.5">
      <c r="A97" s="2"/>
      <c r="B97" s="2"/>
      <c r="C97" s="2"/>
      <c r="D97" s="2"/>
      <c r="E97" s="2"/>
      <c r="F97" s="75"/>
      <c r="G97" s="2"/>
      <c r="H97" s="2"/>
      <c r="I97" s="2"/>
      <c r="J97" s="2"/>
      <c r="K97" s="75"/>
      <c r="L97" s="2"/>
      <c r="M97" s="94"/>
      <c r="N97" s="94"/>
      <c r="O97" s="75"/>
      <c r="P97" s="2"/>
      <c r="Q97" s="2"/>
      <c r="R97" s="2"/>
      <c r="S97" s="2"/>
      <c r="T97" s="2"/>
      <c r="U97" s="75"/>
      <c r="V97" s="2"/>
      <c r="W97" s="2"/>
      <c r="X97" s="2"/>
      <c r="Y97" s="75"/>
      <c r="Z97" s="2"/>
      <c r="AA97" s="2"/>
      <c r="AB97" s="2"/>
      <c r="AC97" s="2"/>
    </row>
    <row x14ac:dyDescent="0.25" r="98" customHeight="1" ht="19.5">
      <c r="A98" s="6"/>
      <c r="B98" s="2"/>
      <c r="C98" s="2"/>
      <c r="D98" s="2"/>
      <c r="E98" s="2"/>
      <c r="F98" s="138"/>
      <c r="G98" s="54"/>
      <c r="H98" s="54"/>
      <c r="I98" s="54"/>
      <c r="J98" s="54"/>
      <c r="K98" s="138"/>
      <c r="L98" s="54"/>
      <c r="M98" s="116"/>
      <c r="N98" s="116"/>
      <c r="O98" s="138"/>
      <c r="P98" s="54"/>
      <c r="Q98" s="54"/>
      <c r="R98" s="54"/>
      <c r="S98" s="54"/>
      <c r="T98" s="54"/>
      <c r="U98" s="138"/>
      <c r="V98" s="54"/>
      <c r="W98" s="6"/>
      <c r="X98" s="6"/>
      <c r="Y98" s="76"/>
      <c r="Z98" s="6"/>
      <c r="AA98" s="6"/>
      <c r="AB98" s="6"/>
      <c r="AC98" s="6"/>
    </row>
    <row x14ac:dyDescent="0.25" r="99" customHeight="1" ht="19.5">
      <c r="A99" s="2"/>
      <c r="B99" s="2"/>
      <c r="C99" s="2"/>
      <c r="D99" s="2"/>
      <c r="E99" s="2"/>
      <c r="F99" s="75"/>
      <c r="G99" s="2"/>
      <c r="H99" s="2"/>
      <c r="I99" s="2"/>
      <c r="J99" s="2"/>
      <c r="K99" s="75"/>
      <c r="L99" s="2"/>
      <c r="M99" s="94"/>
      <c r="N99" s="94"/>
      <c r="O99" s="75"/>
      <c r="P99" s="2"/>
      <c r="Q99" s="2"/>
      <c r="R99" s="2"/>
      <c r="S99" s="2"/>
      <c r="T99" s="2"/>
      <c r="U99" s="75"/>
      <c r="V99" s="2"/>
      <c r="W99" s="2"/>
      <c r="X99" s="2"/>
      <c r="Y99" s="75"/>
      <c r="Z99" s="2"/>
      <c r="AA99" s="2"/>
      <c r="AB99" s="2"/>
      <c r="AC99" s="2"/>
    </row>
    <row x14ac:dyDescent="0.25" r="100" customHeight="1" ht="19.5">
      <c r="A100" s="2"/>
      <c r="B100" s="2"/>
      <c r="C100" s="2"/>
      <c r="D100" s="2"/>
      <c r="E100" s="2"/>
      <c r="F100" s="75"/>
      <c r="G100" s="2"/>
      <c r="H100" s="2"/>
      <c r="I100" s="2"/>
      <c r="J100" s="2"/>
      <c r="K100" s="75"/>
      <c r="L100" s="2"/>
      <c r="M100" s="94"/>
      <c r="N100" s="94"/>
      <c r="O100" s="75"/>
      <c r="P100" s="2"/>
      <c r="Q100" s="2"/>
      <c r="R100" s="2"/>
      <c r="S100" s="2"/>
      <c r="T100" s="2"/>
      <c r="U100" s="75"/>
      <c r="V100" s="2"/>
      <c r="W100" s="2"/>
      <c r="X100" s="2"/>
      <c r="Y100" s="75"/>
      <c r="Z100" s="2"/>
      <c r="AA100" s="2"/>
      <c r="AB100" s="2"/>
      <c r="AC100" s="2"/>
    </row>
    <row x14ac:dyDescent="0.25" r="101" customHeight="1" ht="19.5">
      <c r="A101" s="2"/>
      <c r="B101" s="2"/>
      <c r="C101" s="2"/>
      <c r="D101" s="2"/>
      <c r="E101" s="2"/>
      <c r="F101" s="75"/>
      <c r="G101" s="2"/>
      <c r="H101" s="2"/>
      <c r="I101" s="2"/>
      <c r="J101" s="2"/>
      <c r="K101" s="75"/>
      <c r="L101" s="2"/>
      <c r="M101" s="94"/>
      <c r="N101" s="94"/>
      <c r="O101" s="75"/>
      <c r="P101" s="2"/>
      <c r="Q101" s="2"/>
      <c r="R101" s="2"/>
      <c r="S101" s="2"/>
      <c r="T101" s="2"/>
      <c r="U101" s="75"/>
      <c r="V101" s="2"/>
      <c r="W101" s="2"/>
      <c r="X101" s="2"/>
      <c r="Y101" s="75"/>
      <c r="Z101" s="2"/>
      <c r="AA101" s="2"/>
      <c r="AB101" s="2"/>
      <c r="AC101" s="2"/>
    </row>
    <row x14ac:dyDescent="0.25" r="102" customHeight="1" ht="19.5">
      <c r="A102" s="2"/>
      <c r="B102" s="2"/>
      <c r="C102" s="2"/>
      <c r="D102" s="2"/>
      <c r="E102" s="2"/>
      <c r="F102" s="75"/>
      <c r="G102" s="2"/>
      <c r="H102" s="2"/>
      <c r="I102" s="2"/>
      <c r="J102" s="2"/>
      <c r="K102" s="75"/>
      <c r="L102" s="2"/>
      <c r="M102" s="6"/>
      <c r="N102" s="6"/>
      <c r="O102" s="75"/>
      <c r="P102" s="2"/>
      <c r="Q102" s="2"/>
      <c r="R102" s="2"/>
      <c r="S102" s="2"/>
      <c r="T102" s="2"/>
      <c r="U102" s="75"/>
      <c r="V102" s="2"/>
      <c r="W102" s="2"/>
      <c r="X102" s="2"/>
      <c r="Y102" s="75"/>
      <c r="Z102" s="2"/>
      <c r="AA102" s="2"/>
      <c r="AB102" s="2"/>
      <c r="AC102" s="2"/>
    </row>
    <row x14ac:dyDescent="0.25" r="103" customHeight="1" ht="19.5">
      <c r="A103" s="2"/>
      <c r="B103" s="2"/>
      <c r="C103" s="2"/>
      <c r="D103" s="2"/>
      <c r="E103" s="2"/>
      <c r="F103" s="75"/>
      <c r="G103" s="2"/>
      <c r="H103" s="2"/>
      <c r="I103" s="2"/>
      <c r="J103" s="2"/>
      <c r="K103" s="75"/>
      <c r="L103" s="5"/>
      <c r="M103" s="87"/>
      <c r="N103" s="87"/>
      <c r="O103" s="75"/>
      <c r="P103" s="2"/>
      <c r="Q103" s="2"/>
      <c r="R103" s="2"/>
      <c r="S103" s="2"/>
      <c r="T103" s="2"/>
      <c r="U103" s="75"/>
      <c r="V103" s="2"/>
      <c r="W103" s="2"/>
      <c r="X103" s="2"/>
      <c r="Y103" s="75"/>
      <c r="Z103" s="2"/>
      <c r="AA103" s="2"/>
      <c r="AB103" s="2"/>
      <c r="AC103" s="2"/>
    </row>
    <row x14ac:dyDescent="0.25" r="104" customHeight="1" ht="19.5">
      <c r="A104" s="2"/>
      <c r="B104" s="2"/>
      <c r="C104" s="2"/>
      <c r="D104" s="2"/>
      <c r="E104" s="2"/>
      <c r="F104" s="75"/>
      <c r="G104" s="2"/>
      <c r="H104" s="2"/>
      <c r="I104" s="2"/>
      <c r="J104" s="2"/>
      <c r="K104" s="75"/>
      <c r="L104" s="2"/>
      <c r="M104" s="5"/>
      <c r="N104" s="5"/>
      <c r="O104" s="75"/>
      <c r="P104" s="2"/>
      <c r="Q104" s="2"/>
      <c r="R104" s="2"/>
      <c r="S104" s="2"/>
      <c r="T104" s="2"/>
      <c r="U104" s="75"/>
      <c r="V104" s="2"/>
      <c r="W104" s="2"/>
      <c r="X104" s="2"/>
      <c r="Y104" s="75"/>
      <c r="Z104" s="2"/>
      <c r="AA104" s="2"/>
      <c r="AB104" s="2"/>
      <c r="AC104" s="2"/>
    </row>
    <row x14ac:dyDescent="0.25" r="105" customHeight="1" ht="19.5">
      <c r="A105" s="2"/>
      <c r="B105" s="2"/>
      <c r="C105" s="2"/>
      <c r="D105" s="2"/>
      <c r="E105" s="2"/>
      <c r="F105" s="75"/>
      <c r="G105" s="2"/>
      <c r="H105" s="2"/>
      <c r="I105" s="2"/>
      <c r="J105" s="2"/>
      <c r="K105" s="75"/>
      <c r="L105" s="2"/>
      <c r="M105" s="87"/>
      <c r="N105" s="87"/>
      <c r="O105" s="75"/>
      <c r="P105" s="2"/>
      <c r="Q105" s="2"/>
      <c r="R105" s="2"/>
      <c r="S105" s="2"/>
      <c r="T105" s="2"/>
      <c r="U105" s="75"/>
      <c r="V105" s="2"/>
      <c r="W105" s="2"/>
      <c r="X105" s="2"/>
      <c r="Y105" s="75"/>
      <c r="Z105" s="2"/>
      <c r="AA105" s="2"/>
      <c r="AB105" s="2"/>
      <c r="AC105" s="2"/>
    </row>
    <row x14ac:dyDescent="0.25" r="106" customHeight="1" ht="19.5">
      <c r="A106" s="2"/>
      <c r="B106" s="2"/>
      <c r="C106" s="2"/>
      <c r="D106" s="2"/>
      <c r="E106" s="2"/>
      <c r="F106" s="75"/>
      <c r="G106" s="2"/>
      <c r="H106" s="2"/>
      <c r="I106" s="2"/>
      <c r="J106" s="2"/>
      <c r="K106" s="75"/>
      <c r="L106" s="2"/>
      <c r="M106" s="5"/>
      <c r="N106" s="5"/>
      <c r="O106" s="75"/>
      <c r="P106" s="2"/>
      <c r="Q106" s="2"/>
      <c r="R106" s="2"/>
      <c r="S106" s="2"/>
      <c r="T106" s="2"/>
      <c r="U106" s="75"/>
      <c r="V106" s="2"/>
      <c r="W106" s="2"/>
      <c r="X106" s="2"/>
      <c r="Y106" s="75"/>
      <c r="Z106" s="2"/>
      <c r="AA106" s="2"/>
      <c r="AB106" s="2"/>
      <c r="AC106" s="2"/>
    </row>
    <row x14ac:dyDescent="0.25" r="107" customHeight="1" ht="19.5">
      <c r="A107" s="2"/>
      <c r="B107" s="2"/>
      <c r="C107" s="2"/>
      <c r="D107" s="2"/>
      <c r="E107" s="2"/>
      <c r="F107" s="75"/>
      <c r="G107" s="2"/>
      <c r="H107" s="2"/>
      <c r="I107" s="2"/>
      <c r="J107" s="2"/>
      <c r="K107" s="75"/>
      <c r="L107" s="2"/>
      <c r="M107" s="5"/>
      <c r="N107" s="2"/>
      <c r="O107" s="75"/>
      <c r="P107" s="2"/>
      <c r="Q107" s="2"/>
      <c r="R107" s="2"/>
      <c r="S107" s="2"/>
      <c r="T107" s="2"/>
      <c r="U107" s="75"/>
      <c r="V107" s="2"/>
      <c r="W107" s="2"/>
      <c r="X107" s="2"/>
      <c r="Y107" s="75"/>
      <c r="Z107" s="2"/>
      <c r="AA107" s="2"/>
      <c r="AB107" s="2"/>
      <c r="AC107" s="2"/>
    </row>
    <row x14ac:dyDescent="0.25" r="108" customHeight="1" ht="19.5">
      <c r="A108" s="2"/>
      <c r="B108" s="2"/>
      <c r="C108" s="2"/>
      <c r="D108" s="2"/>
      <c r="E108" s="2"/>
      <c r="F108" s="75"/>
      <c r="G108" s="2"/>
      <c r="H108" s="2"/>
      <c r="I108" s="2"/>
      <c r="J108" s="2"/>
      <c r="K108" s="75"/>
      <c r="L108" s="2"/>
      <c r="M108" s="2"/>
      <c r="N108" s="2"/>
      <c r="O108" s="75"/>
      <c r="P108" s="2"/>
      <c r="Q108" s="2"/>
      <c r="R108" s="2"/>
      <c r="S108" s="2"/>
      <c r="T108" s="2"/>
      <c r="U108" s="75"/>
      <c r="V108" s="2"/>
      <c r="W108" s="2"/>
      <c r="X108" s="2"/>
      <c r="Y108" s="75"/>
      <c r="Z108" s="2"/>
      <c r="AA108" s="2"/>
      <c r="AB108" s="2"/>
      <c r="AC108" s="2"/>
    </row>
    <row x14ac:dyDescent="0.25" r="109" customHeight="1" ht="19.5">
      <c r="A109" s="2"/>
      <c r="B109" s="2"/>
      <c r="C109" s="2"/>
      <c r="D109" s="2"/>
      <c r="E109" s="2"/>
      <c r="F109" s="75"/>
      <c r="G109" s="2"/>
      <c r="H109" s="2"/>
      <c r="I109" s="2"/>
      <c r="J109" s="2"/>
      <c r="K109" s="75"/>
      <c r="L109" s="2"/>
      <c r="M109" s="2"/>
      <c r="N109" s="2"/>
      <c r="O109" s="75"/>
      <c r="P109" s="2"/>
      <c r="Q109" s="2"/>
      <c r="R109" s="2"/>
      <c r="S109" s="2"/>
      <c r="T109" s="2"/>
      <c r="U109" s="75"/>
      <c r="V109" s="2"/>
      <c r="W109" s="2"/>
      <c r="X109" s="2"/>
      <c r="Y109" s="75"/>
      <c r="Z109" s="2"/>
      <c r="AA109" s="2"/>
      <c r="AB109" s="2"/>
      <c r="AC109" s="2"/>
    </row>
    <row x14ac:dyDescent="0.25" r="110" customHeight="1" ht="19.5">
      <c r="A110" s="2"/>
      <c r="B110" s="2"/>
      <c r="C110" s="2"/>
      <c r="D110" s="2"/>
      <c r="E110" s="2"/>
      <c r="F110" s="75"/>
      <c r="G110" s="2"/>
      <c r="H110" s="2"/>
      <c r="I110" s="2"/>
      <c r="J110" s="2"/>
      <c r="K110" s="75"/>
      <c r="L110" s="2"/>
      <c r="M110" s="2"/>
      <c r="N110" s="2"/>
      <c r="O110" s="75"/>
      <c r="P110" s="2"/>
      <c r="Q110" s="2"/>
      <c r="R110" s="2"/>
      <c r="S110" s="2"/>
      <c r="T110" s="2"/>
      <c r="U110" s="75"/>
      <c r="V110" s="2"/>
      <c r="W110" s="2"/>
      <c r="X110" s="2"/>
      <c r="Y110" s="75"/>
      <c r="Z110" s="2"/>
      <c r="AA110" s="2"/>
      <c r="AB110" s="2"/>
      <c r="AC110" s="2"/>
    </row>
    <row x14ac:dyDescent="0.25" r="111" customHeight="1" ht="19.5">
      <c r="A111" s="2"/>
      <c r="B111" s="2"/>
      <c r="C111" s="2"/>
      <c r="D111" s="2"/>
      <c r="E111" s="2"/>
      <c r="F111" s="75"/>
      <c r="G111" s="2"/>
      <c r="H111" s="2"/>
      <c r="I111" s="2"/>
      <c r="J111" s="2"/>
      <c r="K111" s="75"/>
      <c r="L111" s="2"/>
      <c r="M111" s="2"/>
      <c r="N111" s="2"/>
      <c r="O111" s="75"/>
      <c r="P111" s="2"/>
      <c r="Q111" s="2"/>
      <c r="R111" s="2"/>
      <c r="S111" s="2"/>
      <c r="T111" s="2"/>
      <c r="U111" s="75"/>
      <c r="V111" s="2"/>
      <c r="W111" s="2"/>
      <c r="X111" s="2"/>
      <c r="Y111" s="75"/>
      <c r="Z111" s="2"/>
      <c r="AA111" s="2"/>
      <c r="AB111" s="2"/>
      <c r="AC111" s="2"/>
    </row>
    <row x14ac:dyDescent="0.25" r="112" customHeight="1" ht="19.5">
      <c r="A112" s="2"/>
      <c r="B112" s="2"/>
      <c r="C112" s="2"/>
      <c r="D112" s="2"/>
      <c r="E112" s="2"/>
      <c r="F112" s="75"/>
      <c r="G112" s="2"/>
      <c r="H112" s="2"/>
      <c r="I112" s="2"/>
      <c r="J112" s="2"/>
      <c r="K112" s="75"/>
      <c r="L112" s="2"/>
      <c r="M112" s="2"/>
      <c r="N112" s="2"/>
      <c r="O112" s="75"/>
      <c r="P112" s="2"/>
      <c r="Q112" s="2"/>
      <c r="R112" s="2"/>
      <c r="S112" s="2"/>
      <c r="T112" s="2"/>
      <c r="U112" s="75"/>
      <c r="V112" s="2"/>
      <c r="W112" s="2"/>
      <c r="X112" s="2"/>
      <c r="Y112" s="75"/>
      <c r="Z112" s="2"/>
      <c r="AA112" s="2"/>
      <c r="AB112" s="2"/>
      <c r="AC112" s="2"/>
    </row>
    <row x14ac:dyDescent="0.25" r="113" customHeight="1" ht="19.5">
      <c r="A113" s="2"/>
      <c r="B113" s="2"/>
      <c r="C113" s="2"/>
      <c r="D113" s="2"/>
      <c r="E113" s="2"/>
      <c r="F113" s="75"/>
      <c r="G113" s="2"/>
      <c r="H113" s="2"/>
      <c r="I113" s="2"/>
      <c r="J113" s="2"/>
      <c r="K113" s="75"/>
      <c r="L113" s="2"/>
      <c r="M113" s="2"/>
      <c r="N113" s="2"/>
      <c r="O113" s="75"/>
      <c r="P113" s="2"/>
      <c r="Q113" s="2"/>
      <c r="R113" s="2"/>
      <c r="S113" s="2"/>
      <c r="T113" s="2"/>
      <c r="U113" s="75"/>
      <c r="V113" s="2"/>
      <c r="W113" s="2"/>
      <c r="X113" s="2"/>
      <c r="Y113" s="75"/>
      <c r="Z113" s="2"/>
      <c r="AA113" s="2"/>
      <c r="AB113" s="2"/>
      <c r="AC113" s="2"/>
    </row>
    <row x14ac:dyDescent="0.25" r="114" customHeight="1" ht="19.5">
      <c r="A114" s="2"/>
      <c r="B114" s="2"/>
      <c r="C114" s="2"/>
      <c r="D114" s="2"/>
      <c r="E114" s="2"/>
      <c r="F114" s="75"/>
      <c r="G114" s="2"/>
      <c r="H114" s="2"/>
      <c r="I114" s="2"/>
      <c r="J114" s="2"/>
      <c r="K114" s="75"/>
      <c r="L114" s="2"/>
      <c r="M114" s="2"/>
      <c r="N114" s="6"/>
      <c r="O114" s="75"/>
      <c r="P114" s="2"/>
      <c r="Q114" s="2"/>
      <c r="R114" s="2"/>
      <c r="S114" s="2"/>
      <c r="T114" s="2"/>
      <c r="U114" s="75"/>
      <c r="V114" s="2"/>
      <c r="W114" s="2"/>
      <c r="X114" s="2"/>
      <c r="Y114" s="75"/>
      <c r="Z114" s="2"/>
      <c r="AA114" s="2"/>
      <c r="AB114" s="2"/>
      <c r="AC114" s="2"/>
    </row>
    <row x14ac:dyDescent="0.25" r="115" customHeight="1" ht="19.5">
      <c r="A115" s="2"/>
      <c r="B115" s="2"/>
      <c r="C115" s="2"/>
      <c r="D115" s="2"/>
      <c r="E115" s="2"/>
      <c r="F115" s="75"/>
      <c r="G115" s="2"/>
      <c r="H115" s="2"/>
      <c r="I115" s="2"/>
      <c r="J115" s="2"/>
      <c r="K115" s="75"/>
      <c r="L115" s="2"/>
      <c r="M115" s="2"/>
      <c r="N115" s="6"/>
      <c r="O115" s="75"/>
      <c r="P115" s="2"/>
      <c r="Q115" s="2"/>
      <c r="R115" s="2"/>
      <c r="S115" s="2"/>
      <c r="T115" s="2"/>
      <c r="U115" s="75"/>
      <c r="V115" s="2"/>
      <c r="W115" s="2"/>
      <c r="X115" s="2"/>
      <c r="Y115" s="75"/>
      <c r="Z115" s="2"/>
      <c r="AA115" s="2"/>
      <c r="AB115" s="2"/>
      <c r="AC115" s="2"/>
    </row>
    <row x14ac:dyDescent="0.25" r="116" customHeight="1" ht="19.5">
      <c r="A116" s="2"/>
      <c r="B116" s="2"/>
      <c r="C116" s="2"/>
      <c r="D116" s="2"/>
      <c r="E116" s="2"/>
      <c r="F116" s="75"/>
      <c r="G116" s="186" t="s">
        <v>57</v>
      </c>
      <c r="H116" s="187"/>
      <c r="I116" s="187"/>
      <c r="J116" s="187"/>
      <c r="K116" s="188">
        <f>K117+K118+K119+K120</f>
      </c>
      <c r="L116" s="186" t="s">
        <v>25</v>
      </c>
      <c r="M116" s="2"/>
      <c r="N116" s="2"/>
      <c r="O116" s="75"/>
      <c r="P116" s="189" t="s">
        <v>53</v>
      </c>
      <c r="Q116" s="190"/>
      <c r="R116" s="190"/>
      <c r="S116" s="190"/>
      <c r="T116" s="190"/>
      <c r="U116" s="191">
        <f>U117+U120+U121</f>
      </c>
      <c r="V116" s="192" t="s">
        <v>25</v>
      </c>
      <c r="W116" s="2"/>
      <c r="X116" s="2"/>
      <c r="Y116" s="75"/>
      <c r="Z116" s="2"/>
      <c r="AA116" s="2"/>
      <c r="AB116" s="2"/>
      <c r="AC116" s="2"/>
    </row>
    <row x14ac:dyDescent="0.25" r="117" customHeight="1" ht="19.5">
      <c r="A117" s="2"/>
      <c r="B117" s="2"/>
      <c r="C117" s="2"/>
      <c r="D117" s="2"/>
      <c r="E117" s="2"/>
      <c r="F117" s="75"/>
      <c r="G117" s="87" t="s">
        <v>59</v>
      </c>
      <c r="H117" s="28"/>
      <c r="I117" s="28"/>
      <c r="J117" s="28"/>
      <c r="K117" s="45">
        <f>SUM(Infra!F43:F49)</f>
      </c>
      <c r="L117" s="137"/>
      <c r="M117" s="2"/>
      <c r="N117" s="2"/>
      <c r="O117" s="75"/>
      <c r="P117" s="28" t="s">
        <v>54</v>
      </c>
      <c r="Q117" s="28"/>
      <c r="R117" s="28"/>
      <c r="S117" s="2"/>
      <c r="T117" s="28"/>
      <c r="U117" s="29">
        <f>Infra!F8</f>
      </c>
      <c r="V117" s="130"/>
      <c r="W117" s="2"/>
      <c r="X117" s="2"/>
      <c r="Y117" s="75"/>
      <c r="Z117" s="2"/>
      <c r="AA117" s="2"/>
      <c r="AB117" s="2"/>
      <c r="AC117" s="2"/>
    </row>
    <row x14ac:dyDescent="0.25" r="118" customHeight="1" ht="19.5">
      <c r="A118" s="2"/>
      <c r="B118" s="2"/>
      <c r="C118" s="2"/>
      <c r="D118" s="2"/>
      <c r="E118" s="2"/>
      <c r="F118" s="75"/>
      <c r="G118" s="5" t="s">
        <v>60</v>
      </c>
      <c r="H118" s="5"/>
      <c r="I118" s="5"/>
      <c r="J118" s="5"/>
      <c r="K118" s="45">
        <f>SUM(Infra!F51:F54)</f>
      </c>
      <c r="L118" s="4"/>
      <c r="M118" s="2"/>
      <c r="N118" s="2"/>
      <c r="O118" s="75"/>
      <c r="P118" s="2"/>
      <c r="Q118" s="5" t="s">
        <v>83</v>
      </c>
      <c r="R118" s="5"/>
      <c r="S118" s="2"/>
      <c r="T118" s="5"/>
      <c r="U118" s="45">
        <f>Infra!F26</f>
      </c>
      <c r="V118" s="5"/>
      <c r="W118" s="2"/>
      <c r="X118" s="2"/>
      <c r="Y118" s="75"/>
      <c r="Z118" s="2"/>
      <c r="AA118" s="2"/>
      <c r="AB118" s="2"/>
      <c r="AC118" s="2"/>
    </row>
    <row x14ac:dyDescent="0.25" r="119" customHeight="1" ht="19.5">
      <c r="A119" s="2"/>
      <c r="B119" s="2"/>
      <c r="C119" s="2"/>
      <c r="D119" s="2"/>
      <c r="E119" s="2"/>
      <c r="F119" s="75"/>
      <c r="G119" s="87" t="s">
        <v>62</v>
      </c>
      <c r="H119" s="5"/>
      <c r="I119" s="5"/>
      <c r="J119" s="5"/>
      <c r="K119" s="45">
        <f>SUM(Infra!F56:F58)</f>
      </c>
      <c r="L119" s="5"/>
      <c r="M119" s="2"/>
      <c r="N119" s="2"/>
      <c r="O119" s="75"/>
      <c r="P119" s="2"/>
      <c r="Q119" s="6" t="s">
        <v>84</v>
      </c>
      <c r="R119" s="2"/>
      <c r="S119" s="2"/>
      <c r="T119" s="2"/>
      <c r="U119" s="97">
        <f>Ruoka!J32</f>
      </c>
      <c r="V119" s="5"/>
      <c r="W119" s="2"/>
      <c r="X119" s="2"/>
      <c r="Y119" s="75"/>
      <c r="Z119" s="2"/>
      <c r="AA119" s="2"/>
      <c r="AB119" s="2"/>
      <c r="AC119" s="2"/>
    </row>
    <row x14ac:dyDescent="0.25" r="120" customHeight="1" ht="19.5">
      <c r="A120" s="2"/>
      <c r="B120" s="2"/>
      <c r="C120" s="2"/>
      <c r="D120" s="2"/>
      <c r="E120" s="2"/>
      <c r="F120" s="75"/>
      <c r="G120" s="5" t="s">
        <v>64</v>
      </c>
      <c r="H120" s="5"/>
      <c r="I120" s="5"/>
      <c r="J120" s="5"/>
      <c r="K120" s="45">
        <f>SUM(Infra!F62)</f>
      </c>
      <c r="L120" s="5"/>
      <c r="M120" s="2"/>
      <c r="N120" s="2"/>
      <c r="O120" s="75"/>
      <c r="P120" s="5" t="s">
        <v>55</v>
      </c>
      <c r="Q120" s="5"/>
      <c r="R120" s="5"/>
      <c r="S120" s="2"/>
      <c r="T120" s="5"/>
      <c r="U120" s="45">
        <f>Infra!F14</f>
      </c>
      <c r="V120" s="131"/>
      <c r="W120" s="2"/>
      <c r="X120" s="2"/>
      <c r="Y120" s="75"/>
      <c r="Z120" s="2"/>
      <c r="AA120" s="2"/>
      <c r="AB120" s="2"/>
      <c r="AC120" s="2"/>
    </row>
    <row x14ac:dyDescent="0.25" r="121" customHeight="1" ht="19.5">
      <c r="A121" s="2"/>
      <c r="B121" s="2"/>
      <c r="C121" s="2"/>
      <c r="D121" s="2"/>
      <c r="E121" s="2"/>
      <c r="F121" s="75"/>
      <c r="G121" s="43" t="s">
        <v>65</v>
      </c>
      <c r="H121" s="54"/>
      <c r="I121" s="54"/>
      <c r="J121" s="54"/>
      <c r="K121" s="97">
        <f>SUM(Infra!F63:F64)</f>
      </c>
      <c r="L121" s="132"/>
      <c r="M121" s="2"/>
      <c r="N121" s="2"/>
      <c r="O121" s="75"/>
      <c r="P121" s="43" t="s">
        <v>56</v>
      </c>
      <c r="Q121" s="43"/>
      <c r="R121" s="43"/>
      <c r="S121" s="54"/>
      <c r="T121" s="43"/>
      <c r="U121" s="29">
        <f>Infra!F19</f>
      </c>
      <c r="V121" s="132"/>
      <c r="W121" s="2"/>
      <c r="X121" s="2"/>
      <c r="Y121" s="75"/>
      <c r="Z121" s="2"/>
      <c r="AA121" s="2"/>
      <c r="AB121" s="2"/>
      <c r="AC121" s="2"/>
    </row>
    <row x14ac:dyDescent="0.25" r="122" customHeight="1" ht="19.5">
      <c r="A122" s="2"/>
      <c r="B122" s="2"/>
      <c r="C122" s="2"/>
      <c r="D122" s="2"/>
      <c r="E122" s="2"/>
      <c r="F122" s="75"/>
      <c r="G122" s="2"/>
      <c r="H122" s="2"/>
      <c r="I122" s="2"/>
      <c r="J122" s="2"/>
      <c r="K122" s="75"/>
      <c r="L122" s="2"/>
      <c r="M122" s="2"/>
      <c r="N122" s="2"/>
      <c r="O122" s="75"/>
      <c r="P122" s="2"/>
      <c r="Q122" s="2"/>
      <c r="R122" s="2"/>
      <c r="S122" s="2"/>
      <c r="T122" s="2"/>
      <c r="U122" s="75"/>
      <c r="V122" s="2"/>
      <c r="W122" s="2"/>
      <c r="X122" s="2"/>
      <c r="Y122" s="75"/>
      <c r="Z122" s="2"/>
      <c r="AA122" s="2"/>
      <c r="AB122" s="2"/>
      <c r="AC122" s="2"/>
    </row>
    <row x14ac:dyDescent="0.25" r="123" customHeight="1" ht="19.5">
      <c r="A123" s="2"/>
      <c r="B123" s="2"/>
      <c r="C123" s="2"/>
      <c r="D123" s="2"/>
      <c r="E123" s="2"/>
      <c r="F123" s="75"/>
      <c r="G123" s="2"/>
      <c r="H123" s="2"/>
      <c r="I123" s="2"/>
      <c r="J123" s="2"/>
      <c r="K123" s="75"/>
      <c r="L123" s="2"/>
      <c r="M123" s="2"/>
      <c r="N123" s="2"/>
      <c r="O123" s="75"/>
      <c r="P123" s="2"/>
      <c r="Q123" s="2"/>
      <c r="R123" s="2"/>
      <c r="S123" s="2"/>
      <c r="T123" s="2"/>
      <c r="U123" s="75"/>
      <c r="V123" s="2"/>
      <c r="W123" s="2"/>
      <c r="X123" s="2"/>
      <c r="Y123" s="75"/>
      <c r="Z123" s="2"/>
      <c r="AA123" s="2"/>
      <c r="AB123" s="2"/>
      <c r="AC123" s="2"/>
    </row>
    <row x14ac:dyDescent="0.25" r="124" customHeight="1" ht="19.5">
      <c r="A124" s="2"/>
      <c r="B124" s="2"/>
      <c r="C124" s="2"/>
      <c r="D124" s="2"/>
      <c r="E124" s="2"/>
      <c r="F124" s="75"/>
      <c r="G124" s="2"/>
      <c r="H124" s="2"/>
      <c r="I124" s="2"/>
      <c r="J124" s="2"/>
      <c r="K124" s="75"/>
      <c r="L124" s="2"/>
      <c r="M124" s="2"/>
      <c r="N124" s="2"/>
      <c r="O124" s="75"/>
      <c r="P124" s="2"/>
      <c r="Q124" s="2"/>
      <c r="R124" s="2"/>
      <c r="S124" s="2"/>
      <c r="T124" s="2"/>
      <c r="U124" s="75"/>
      <c r="V124" s="2"/>
      <c r="W124" s="2"/>
      <c r="X124" s="2"/>
      <c r="Y124" s="75"/>
      <c r="Z124" s="2"/>
      <c r="AA124" s="2"/>
      <c r="AB124" s="2"/>
      <c r="AC124" s="2"/>
    </row>
    <row x14ac:dyDescent="0.25" r="125" customHeight="1" ht="19.5">
      <c r="A125" s="2"/>
      <c r="B125" s="2"/>
      <c r="C125" s="2"/>
      <c r="D125" s="2"/>
      <c r="E125" s="2"/>
      <c r="F125" s="75"/>
      <c r="G125" s="2"/>
      <c r="H125" s="2"/>
      <c r="I125" s="2"/>
      <c r="J125" s="2"/>
      <c r="K125" s="75"/>
      <c r="L125" s="2"/>
      <c r="M125" s="2"/>
      <c r="N125" s="2"/>
      <c r="O125" s="75"/>
      <c r="P125" s="2"/>
      <c r="Q125" s="2"/>
      <c r="R125" s="2"/>
      <c r="S125" s="2"/>
      <c r="T125" s="2"/>
      <c r="U125" s="75"/>
      <c r="V125" s="2"/>
      <c r="W125" s="2"/>
      <c r="X125" s="2"/>
      <c r="Y125" s="75"/>
      <c r="Z125" s="2"/>
      <c r="AA125" s="2"/>
      <c r="AB125" s="2"/>
      <c r="AC125" s="2"/>
    </row>
    <row x14ac:dyDescent="0.25" r="126" customHeight="1" ht="19.5">
      <c r="A126" s="2"/>
      <c r="B126" s="2"/>
      <c r="C126" s="2"/>
      <c r="D126" s="2"/>
      <c r="E126" s="2"/>
      <c r="F126" s="75"/>
      <c r="G126" s="2"/>
      <c r="H126" s="2"/>
      <c r="I126" s="2"/>
      <c r="J126" s="2"/>
      <c r="K126" s="75"/>
      <c r="L126" s="2"/>
      <c r="M126" s="2"/>
      <c r="N126" s="2"/>
      <c r="O126" s="75"/>
      <c r="P126" s="2"/>
      <c r="Q126" s="2"/>
      <c r="R126" s="2"/>
      <c r="S126" s="2"/>
      <c r="T126" s="2"/>
      <c r="U126" s="75"/>
      <c r="V126" s="2"/>
      <c r="W126" s="2"/>
      <c r="X126" s="2"/>
      <c r="Y126" s="75"/>
      <c r="Z126" s="2"/>
      <c r="AA126" s="2"/>
      <c r="AB126" s="2"/>
      <c r="AC126" s="2"/>
    </row>
    <row x14ac:dyDescent="0.25" r="127" customHeight="1" ht="19.5">
      <c r="A127" s="2"/>
      <c r="B127" s="2"/>
      <c r="C127" s="2"/>
      <c r="D127" s="2"/>
      <c r="E127" s="2"/>
      <c r="F127" s="75"/>
      <c r="G127" s="2"/>
      <c r="H127" s="2"/>
      <c r="I127" s="2"/>
      <c r="J127" s="2"/>
      <c r="K127" s="75"/>
      <c r="L127" s="2"/>
      <c r="M127" s="2"/>
      <c r="N127" s="2"/>
      <c r="O127" s="75"/>
      <c r="P127" s="2"/>
      <c r="Q127" s="2"/>
      <c r="R127" s="2"/>
      <c r="S127" s="2"/>
      <c r="T127" s="2"/>
      <c r="U127" s="75"/>
      <c r="V127" s="2"/>
      <c r="W127" s="2"/>
      <c r="X127" s="2"/>
      <c r="Y127" s="75"/>
      <c r="Z127" s="2"/>
      <c r="AA127" s="2"/>
      <c r="AB127" s="2"/>
      <c r="AC127" s="2"/>
    </row>
    <row x14ac:dyDescent="0.25" r="128" customHeight="1" ht="19.5">
      <c r="A128" s="2"/>
      <c r="B128" s="2"/>
      <c r="C128" s="2"/>
      <c r="D128" s="2"/>
      <c r="E128" s="2"/>
      <c r="F128" s="75"/>
      <c r="G128" s="2"/>
      <c r="H128" s="2"/>
      <c r="I128" s="2"/>
      <c r="J128" s="2"/>
      <c r="K128" s="75"/>
      <c r="L128" s="2"/>
      <c r="M128" s="2"/>
      <c r="N128" s="2"/>
      <c r="O128" s="75"/>
      <c r="P128" s="2"/>
      <c r="Q128" s="2"/>
      <c r="R128" s="2"/>
      <c r="S128" s="2"/>
      <c r="T128" s="2"/>
      <c r="U128" s="75"/>
      <c r="V128" s="2"/>
      <c r="W128" s="2"/>
      <c r="X128" s="2"/>
      <c r="Y128" s="75"/>
      <c r="Z128" s="2"/>
      <c r="AA128" s="2"/>
      <c r="AB128" s="2"/>
      <c r="AC128" s="2"/>
    </row>
    <row x14ac:dyDescent="0.25" r="129" customHeight="1" ht="19.5">
      <c r="A129" s="2"/>
      <c r="B129" s="2"/>
      <c r="C129" s="2"/>
      <c r="D129" s="2"/>
      <c r="E129" s="2"/>
      <c r="F129" s="75"/>
      <c r="G129" s="2"/>
      <c r="H129" s="2"/>
      <c r="I129" s="2"/>
      <c r="J129" s="2"/>
      <c r="K129" s="75"/>
      <c r="L129" s="2"/>
      <c r="M129" s="2"/>
      <c r="N129" s="2"/>
      <c r="O129" s="75"/>
      <c r="P129" s="2"/>
      <c r="Q129" s="2"/>
      <c r="R129" s="2"/>
      <c r="S129" s="2"/>
      <c r="T129" s="2"/>
      <c r="U129" s="75"/>
      <c r="V129" s="2"/>
      <c r="W129" s="2"/>
      <c r="X129" s="2"/>
      <c r="Y129" s="75"/>
      <c r="Z129" s="2"/>
      <c r="AA129" s="2"/>
      <c r="AB129" s="2"/>
      <c r="AC129" s="2"/>
    </row>
    <row x14ac:dyDescent="0.25" r="130" customHeight="1" ht="19.5">
      <c r="A130" s="2"/>
      <c r="B130" s="2"/>
      <c r="C130" s="2"/>
      <c r="D130" s="2"/>
      <c r="E130" s="2"/>
      <c r="F130" s="75"/>
      <c r="G130" s="2"/>
      <c r="H130" s="2"/>
      <c r="I130" s="2"/>
      <c r="J130" s="2"/>
      <c r="K130" s="75"/>
      <c r="L130" s="2"/>
      <c r="M130" s="2"/>
      <c r="N130" s="2"/>
      <c r="O130" s="75"/>
      <c r="P130" s="2"/>
      <c r="Q130" s="2"/>
      <c r="R130" s="2"/>
      <c r="S130" s="2"/>
      <c r="T130" s="2"/>
      <c r="U130" s="75"/>
      <c r="V130" s="2"/>
      <c r="W130" s="2"/>
      <c r="X130" s="2"/>
      <c r="Y130" s="75"/>
      <c r="Z130" s="2"/>
      <c r="AA130" s="2"/>
      <c r="AB130" s="2"/>
      <c r="AC130" s="2"/>
    </row>
    <row x14ac:dyDescent="0.25" r="131" customHeight="1" ht="19.5">
      <c r="A131" s="2"/>
      <c r="B131" s="2"/>
      <c r="C131" s="2"/>
      <c r="D131" s="2"/>
      <c r="E131" s="2"/>
      <c r="F131" s="75"/>
      <c r="G131" s="2"/>
      <c r="H131" s="2"/>
      <c r="I131" s="2"/>
      <c r="J131" s="2"/>
      <c r="K131" s="75"/>
      <c r="L131" s="2"/>
      <c r="M131" s="2"/>
      <c r="N131" s="2"/>
      <c r="O131" s="75"/>
      <c r="P131" s="2"/>
      <c r="Q131" s="2"/>
      <c r="R131" s="2"/>
      <c r="S131" s="2"/>
      <c r="T131" s="2"/>
      <c r="U131" s="75"/>
      <c r="V131" s="2"/>
      <c r="W131" s="2"/>
      <c r="X131" s="2"/>
      <c r="Y131" s="75"/>
      <c r="Z131" s="2"/>
      <c r="AA131" s="2"/>
      <c r="AB131" s="2"/>
      <c r="AC131" s="2"/>
    </row>
    <row x14ac:dyDescent="0.25" r="132" customHeight="1" ht="19.5">
      <c r="A132" s="2"/>
      <c r="B132" s="2"/>
      <c r="C132" s="2"/>
      <c r="D132" s="2"/>
      <c r="E132" s="2"/>
      <c r="F132" s="75"/>
      <c r="G132" s="2"/>
      <c r="H132" s="2"/>
      <c r="I132" s="2"/>
      <c r="J132" s="2"/>
      <c r="K132" s="75"/>
      <c r="L132" s="2"/>
      <c r="M132" s="2"/>
      <c r="N132" s="2"/>
      <c r="O132" s="75"/>
      <c r="P132" s="2"/>
      <c r="Q132" s="2"/>
      <c r="R132" s="2"/>
      <c r="S132" s="2"/>
      <c r="T132" s="2"/>
      <c r="U132" s="75"/>
      <c r="V132" s="2"/>
      <c r="W132" s="2"/>
      <c r="X132" s="2"/>
      <c r="Y132" s="75"/>
      <c r="Z132" s="2"/>
      <c r="AA132" s="2"/>
      <c r="AB132" s="2"/>
      <c r="AC132" s="2"/>
    </row>
    <row x14ac:dyDescent="0.25" r="133" customHeight="1" ht="19.5">
      <c r="A133" s="2"/>
      <c r="B133" s="2"/>
      <c r="C133" s="2"/>
      <c r="D133" s="2"/>
      <c r="E133" s="2"/>
      <c r="F133" s="75"/>
      <c r="G133" s="2"/>
      <c r="H133" s="2"/>
      <c r="I133" s="2"/>
      <c r="J133" s="2"/>
      <c r="K133" s="75"/>
      <c r="L133" s="2"/>
      <c r="M133" s="2"/>
      <c r="N133" s="2"/>
      <c r="O133" s="75"/>
      <c r="P133" s="2"/>
      <c r="Q133" s="2"/>
      <c r="R133" s="2"/>
      <c r="S133" s="2"/>
      <c r="T133" s="2"/>
      <c r="U133" s="75"/>
      <c r="V133" s="2"/>
      <c r="W133" s="2"/>
      <c r="X133" s="2"/>
      <c r="Y133" s="75"/>
      <c r="Z133" s="2"/>
      <c r="AA133" s="2"/>
      <c r="AB133" s="2"/>
      <c r="AC133" s="2"/>
    </row>
    <row x14ac:dyDescent="0.25" r="134" customHeight="1" ht="19.5">
      <c r="A134" s="2"/>
      <c r="B134" s="2"/>
      <c r="C134" s="2"/>
      <c r="D134" s="2"/>
      <c r="E134" s="6"/>
      <c r="F134" s="76"/>
      <c r="G134" s="6"/>
      <c r="H134" s="6"/>
      <c r="I134" s="6"/>
      <c r="J134" s="6"/>
      <c r="K134" s="76"/>
      <c r="L134" s="2"/>
      <c r="M134" s="2"/>
      <c r="N134" s="2"/>
      <c r="O134" s="75"/>
      <c r="P134" s="2"/>
      <c r="Q134" s="2"/>
      <c r="R134" s="2"/>
      <c r="S134" s="2"/>
      <c r="T134" s="2"/>
      <c r="U134" s="75"/>
      <c r="V134" s="2"/>
      <c r="W134" s="2"/>
      <c r="X134" s="2"/>
      <c r="Y134" s="75"/>
      <c r="Z134" s="2"/>
      <c r="AA134" s="2"/>
      <c r="AB134" s="2"/>
      <c r="AC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1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5.2907142857142855" customWidth="1" bestFit="1"/>
    <col min="2" max="2" style="73" width="7.576428571428571" customWidth="1" bestFit="1"/>
    <col min="3" max="3" style="73" width="8.719285714285713" customWidth="1" bestFit="1"/>
    <col min="4" max="4" style="73" width="8.576428571428572" customWidth="1" bestFit="1"/>
    <col min="5" max="5" style="73" width="14.862142857142858" customWidth="1" bestFit="1"/>
    <col min="6" max="6" style="73" width="11.862142857142858" customWidth="1" bestFit="1"/>
    <col min="7" max="7" style="74" width="15.862142857142858" customWidth="1" bestFit="1"/>
    <col min="8" max="8" style="73" width="10.719285714285713" customWidth="1" bestFit="1"/>
    <col min="9" max="9" style="73" width="6.2907142857142855" customWidth="1" bestFit="1"/>
    <col min="10" max="10" style="73" width="5.433571428571429" customWidth="1" bestFit="1"/>
    <col min="11" max="11" style="73" width="11.290714285714287" customWidth="1" bestFit="1"/>
    <col min="12" max="12" style="73" width="8.576428571428572" customWidth="1" bestFit="1"/>
    <col min="13" max="13" style="73" width="8.576428571428572" customWidth="1" bestFit="1"/>
    <col min="14" max="14" style="73" width="9.719285714285713" customWidth="1" bestFit="1"/>
    <col min="15" max="15" style="73" width="8.576428571428572" customWidth="1" bestFit="1"/>
    <col min="16" max="16" style="74" width="13.147857142857141" customWidth="1" bestFit="1"/>
    <col min="17" max="17" style="73" width="11.147857142857141" customWidth="1" bestFit="1"/>
    <col min="18" max="18" style="73" width="7.719285714285714" customWidth="1" bestFit="1"/>
    <col min="19" max="19" style="73" width="6.719285714285714" customWidth="1" bestFit="1"/>
    <col min="20" max="20" style="73" width="15.005" customWidth="1" bestFit="1"/>
    <col min="21" max="21" style="73" width="8.576428571428572" customWidth="1" bestFit="1"/>
    <col min="22" max="22" style="73" width="9.290714285714287" customWidth="1" bestFit="1"/>
    <col min="23" max="23" style="73" width="8.576428571428572" customWidth="1" bestFit="1"/>
    <col min="24" max="24" style="73" width="8.576428571428572" customWidth="1" bestFit="1"/>
    <col min="25" max="25" style="73" width="13.147857142857141" customWidth="1" bestFit="1"/>
    <col min="26" max="26" style="73" width="11.290714285714287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4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4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4"/>
      <c r="B4" s="2"/>
      <c r="C4" s="5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2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9.5">
      <c r="A6" s="2"/>
      <c r="B6" s="6"/>
      <c r="C6" s="6"/>
      <c r="D6" s="6"/>
      <c r="E6" s="6"/>
      <c r="F6" s="6"/>
      <c r="G6" s="7"/>
      <c r="H6" s="6"/>
      <c r="I6" s="6"/>
      <c r="J6" s="6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9.5">
      <c r="A7" s="2"/>
      <c r="B7" s="6"/>
      <c r="C7" s="6"/>
      <c r="D7" s="6"/>
      <c r="E7" s="6"/>
      <c r="F7" s="6"/>
      <c r="G7" s="7"/>
      <c r="H7" s="6"/>
      <c r="I7" s="6"/>
      <c r="J7" s="6"/>
      <c r="K7" s="2"/>
      <c r="L7" s="2"/>
      <c r="M7" s="2"/>
      <c r="N7" s="2"/>
      <c r="O7" s="2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9.5">
      <c r="A8" s="2"/>
      <c r="B8" s="6"/>
      <c r="C8" s="6"/>
      <c r="D8" s="6"/>
      <c r="E8" s="8"/>
      <c r="F8" s="6"/>
      <c r="G8" s="7"/>
      <c r="H8" s="6"/>
      <c r="I8" s="6"/>
      <c r="J8" s="6"/>
      <c r="K8" s="2"/>
      <c r="L8" s="2"/>
      <c r="M8" s="2"/>
      <c r="N8" s="2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9.5">
      <c r="A9" s="2"/>
      <c r="B9" s="6"/>
      <c r="C9" s="6"/>
      <c r="D9" s="6"/>
      <c r="E9" s="2"/>
      <c r="F9" s="6"/>
      <c r="G9" s="7"/>
      <c r="H9" s="6"/>
      <c r="I9" s="6"/>
      <c r="J9" s="6"/>
      <c r="K9" s="2"/>
      <c r="L9" s="2"/>
      <c r="M9" s="2"/>
      <c r="N9" s="2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9.5">
      <c r="A10" s="2"/>
      <c r="B10" s="6"/>
      <c r="C10" s="6"/>
      <c r="D10" s="6"/>
      <c r="E10" s="2"/>
      <c r="F10" s="6"/>
      <c r="G10" s="7"/>
      <c r="H10" s="6"/>
      <c r="I10" s="6"/>
      <c r="J10" s="6"/>
      <c r="K10" s="2"/>
      <c r="L10" s="2"/>
      <c r="M10" s="2"/>
      <c r="N10" s="2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9.5">
      <c r="A11" s="2"/>
      <c r="B11" s="6"/>
      <c r="C11" s="6"/>
      <c r="D11" s="6"/>
      <c r="E11" s="6"/>
      <c r="F11" s="6"/>
      <c r="G11" s="7"/>
      <c r="H11" s="6"/>
      <c r="I11" s="6"/>
      <c r="J11" s="6"/>
      <c r="K11" s="2"/>
      <c r="L11" s="2"/>
      <c r="M11" s="2"/>
      <c r="N11" s="2"/>
      <c r="O11" s="2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9.5">
      <c r="A12" s="2"/>
      <c r="B12" s="6"/>
      <c r="C12" s="6"/>
      <c r="D12" s="6"/>
      <c r="E12" s="6"/>
      <c r="F12" s="6"/>
      <c r="G12" s="7"/>
      <c r="H12" s="6"/>
      <c r="I12" s="6"/>
      <c r="J12" s="6"/>
      <c r="K12" s="2"/>
      <c r="L12" s="2"/>
      <c r="M12" s="2"/>
      <c r="N12" s="2"/>
      <c r="O12" s="2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9.5">
      <c r="A13" s="2"/>
      <c r="B13" s="6"/>
      <c r="C13" s="6"/>
      <c r="D13" s="6"/>
      <c r="E13" s="6"/>
      <c r="F13" s="6"/>
      <c r="G13" s="7"/>
      <c r="H13" s="6"/>
      <c r="I13" s="6"/>
      <c r="J13" s="6"/>
      <c r="K13" s="2"/>
      <c r="L13" s="2"/>
      <c r="M13" s="2"/>
      <c r="N13" s="2"/>
      <c r="O13" s="2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6"/>
      <c r="C14" s="6"/>
      <c r="D14" s="6"/>
      <c r="E14" s="6"/>
      <c r="F14" s="6"/>
      <c r="G14" s="7"/>
      <c r="H14" s="6"/>
      <c r="I14" s="6"/>
      <c r="J14" s="6"/>
      <c r="K14" s="2"/>
      <c r="L14" s="2"/>
      <c r="M14" s="2"/>
      <c r="N14" s="2"/>
      <c r="O14" s="2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9.5">
      <c r="A15" s="2"/>
      <c r="B15" s="6"/>
      <c r="C15" s="6"/>
      <c r="D15" s="6"/>
      <c r="E15" s="6"/>
      <c r="F15" s="6"/>
      <c r="G15" s="7"/>
      <c r="H15" s="6"/>
      <c r="I15" s="6"/>
      <c r="J15" s="6"/>
      <c r="K15" s="2"/>
      <c r="L15" s="2"/>
      <c r="M15" s="2"/>
      <c r="N15" s="2"/>
      <c r="O15" s="2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9.5">
      <c r="A16" s="2"/>
      <c r="B16" s="6"/>
      <c r="C16" s="6"/>
      <c r="D16" s="6"/>
      <c r="E16" s="6"/>
      <c r="F16" s="6"/>
      <c r="G16" s="7"/>
      <c r="H16" s="6"/>
      <c r="I16" s="6"/>
      <c r="J16" s="6"/>
      <c r="K16" s="2"/>
      <c r="L16" s="2"/>
      <c r="M16" s="2"/>
      <c r="N16" s="2"/>
      <c r="O16" s="2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9.5">
      <c r="A17" s="2"/>
      <c r="B17" s="6"/>
      <c r="C17" s="6"/>
      <c r="D17" s="6"/>
      <c r="E17" s="6"/>
      <c r="F17" s="6"/>
      <c r="G17" s="7"/>
      <c r="H17" s="6"/>
      <c r="I17" s="6"/>
      <c r="J17" s="6"/>
      <c r="K17" s="2"/>
      <c r="L17" s="2"/>
      <c r="M17" s="2"/>
      <c r="N17" s="2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9.5">
      <c r="A18" s="2"/>
      <c r="B18" s="6"/>
      <c r="C18" s="6"/>
      <c r="D18" s="6"/>
      <c r="E18" s="6"/>
      <c r="F18" s="6"/>
      <c r="G18" s="7"/>
      <c r="H18" s="6"/>
      <c r="I18" s="6"/>
      <c r="J18" s="6"/>
      <c r="K18" s="2"/>
      <c r="L18" s="2"/>
      <c r="M18" s="2"/>
      <c r="N18" s="2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9.5">
      <c r="A19" s="2"/>
      <c r="B19" s="2"/>
      <c r="C19" s="6"/>
      <c r="D19" s="6"/>
      <c r="E19" s="6"/>
      <c r="F19" s="6"/>
      <c r="G19" s="3"/>
      <c r="H19" s="6"/>
      <c r="I19" s="6"/>
      <c r="J19" s="6"/>
      <c r="K19" s="2"/>
      <c r="L19" s="2"/>
      <c r="M19" s="2"/>
      <c r="N19" s="2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4">
      <c r="A21" s="9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8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S22" s="2"/>
      <c r="T22" s="10"/>
      <c r="U22" s="10"/>
      <c r="V22" s="11"/>
      <c r="W22" s="2"/>
      <c r="X22" s="2"/>
      <c r="Y22" s="2"/>
      <c r="Z22" s="2"/>
    </row>
    <row x14ac:dyDescent="0.25" r="23" customHeight="1" ht="19.5">
      <c r="A23" s="2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S23" s="2"/>
      <c r="T23" s="12"/>
      <c r="U23" s="13"/>
      <c r="V23" s="13"/>
      <c r="W23" s="2"/>
      <c r="X23" s="2"/>
      <c r="Y23" s="2"/>
      <c r="Z23" s="2"/>
    </row>
    <row x14ac:dyDescent="0.25" r="24" customHeight="1" ht="19.5">
      <c r="A24" s="2"/>
      <c r="B24" s="14">
        <f>Nykytila!D24</f>
      </c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  <c r="S24" s="2"/>
      <c r="T24" s="12"/>
      <c r="U24" s="15"/>
      <c r="V24" s="13"/>
      <c r="W24" s="2"/>
      <c r="X24" s="2"/>
      <c r="Y24" s="2"/>
      <c r="Z24" s="2"/>
    </row>
    <row x14ac:dyDescent="0.25" r="25" customHeight="1" ht="23.399999999999995">
      <c r="A25" s="2"/>
      <c r="B25" s="2"/>
      <c r="C25" s="2"/>
      <c r="D25" s="2"/>
      <c r="E25" s="2"/>
      <c r="F25" s="2"/>
      <c r="G25" s="16"/>
      <c r="H25" s="2"/>
      <c r="I25" s="5"/>
      <c r="J25" s="2"/>
      <c r="K25" s="2"/>
      <c r="L25" s="2"/>
      <c r="M25" s="2"/>
      <c r="N25" s="2"/>
      <c r="O25" s="2"/>
      <c r="P25" s="3"/>
      <c r="Q25" s="2"/>
      <c r="R25" s="2"/>
      <c r="S25" s="2"/>
      <c r="T25" s="12"/>
      <c r="U25" s="13"/>
      <c r="V25" s="2"/>
      <c r="W25" s="2"/>
      <c r="X25" s="2"/>
      <c r="Y25" s="2"/>
      <c r="Z25" s="2"/>
    </row>
    <row x14ac:dyDescent="0.25" r="26" customHeight="1" ht="19.5">
      <c r="A26" s="2"/>
      <c r="B26" s="17" t="s">
        <v>1</v>
      </c>
      <c r="C26" s="18"/>
      <c r="D26" s="18"/>
      <c r="E26" s="17"/>
      <c r="F26" s="19"/>
      <c r="G26" s="19">
        <f>G29+G34+G38+G44</f>
      </c>
      <c r="H26" s="20">
        <f>H29</f>
      </c>
      <c r="I26" s="5"/>
      <c r="J26" s="2"/>
      <c r="K26" s="2"/>
      <c r="L26" s="2"/>
      <c r="M26" s="2"/>
      <c r="N26" s="2"/>
      <c r="O26" s="2"/>
      <c r="P26" s="3"/>
      <c r="Q26" s="2"/>
      <c r="R26" s="2"/>
      <c r="S26" s="2"/>
      <c r="T26" s="12"/>
      <c r="U26" s="13"/>
      <c r="V26" s="21"/>
      <c r="W26" s="2"/>
      <c r="X26" s="2"/>
      <c r="Y26" s="2"/>
      <c r="Z26" s="2"/>
    </row>
    <row x14ac:dyDescent="0.25" r="27" customHeight="1" ht="19.2">
      <c r="A27" s="2"/>
      <c r="B27" s="2"/>
      <c r="C27" s="2"/>
      <c r="D27" s="2"/>
      <c r="E27" s="2"/>
      <c r="F27" s="2"/>
      <c r="G27" s="16"/>
      <c r="H27" s="2"/>
      <c r="I27" s="5"/>
      <c r="J27" s="2"/>
      <c r="K27" s="2"/>
      <c r="L27" s="2"/>
      <c r="M27" s="2"/>
      <c r="N27" s="2"/>
      <c r="O27" s="2"/>
      <c r="P27" s="3"/>
      <c r="Q27" s="2"/>
      <c r="R27" s="2"/>
      <c r="S27" s="2"/>
      <c r="T27" s="12"/>
      <c r="U27" s="13"/>
      <c r="V27" s="21"/>
      <c r="W27" s="2"/>
      <c r="X27" s="2"/>
      <c r="Y27" s="2"/>
      <c r="Z27" s="2"/>
    </row>
    <row x14ac:dyDescent="0.25" r="28" customHeight="1" ht="19.5">
      <c r="A28" s="2"/>
      <c r="B28" s="22" t="s">
        <v>2</v>
      </c>
      <c r="C28" s="2"/>
      <c r="D28" s="2"/>
      <c r="E28" s="2"/>
      <c r="F28" s="2"/>
      <c r="G28" s="3"/>
      <c r="H28" s="2"/>
      <c r="I28" s="5"/>
      <c r="J28" s="2"/>
      <c r="K28" s="2"/>
      <c r="L28" s="2"/>
      <c r="M28" s="2"/>
      <c r="N28" s="2"/>
      <c r="O28" s="2"/>
      <c r="P28" s="3"/>
      <c r="Q28" s="2"/>
      <c r="R28" s="2"/>
      <c r="S28" s="2"/>
      <c r="T28" s="12"/>
      <c r="U28" s="13"/>
      <c r="V28" s="21"/>
      <c r="W28" s="2"/>
      <c r="X28" s="2"/>
      <c r="Y28" s="2"/>
      <c r="Z28" s="2"/>
    </row>
    <row x14ac:dyDescent="0.25" r="29" customHeight="1" ht="19.5">
      <c r="A29" s="2"/>
      <c r="B29" s="23" t="s">
        <v>3</v>
      </c>
      <c r="C29" s="24"/>
      <c r="D29" s="24"/>
      <c r="E29" s="24"/>
      <c r="F29" s="24"/>
      <c r="G29" s="25">
        <f>IF(F33="Ei",Liikenne!F87,Liikenne!F48+Liikenne!F87)</f>
      </c>
      <c r="H29" s="26" t="s">
        <v>4</v>
      </c>
      <c r="I29" s="5"/>
      <c r="J29" s="2"/>
      <c r="K29" s="2"/>
      <c r="L29" s="2"/>
      <c r="M29" s="2"/>
      <c r="N29" s="2"/>
      <c r="O29" s="2"/>
      <c r="P29" s="3"/>
      <c r="Q29" s="2"/>
      <c r="R29" s="2"/>
      <c r="S29" s="2"/>
      <c r="T29" s="12"/>
      <c r="U29" s="13"/>
      <c r="V29" s="21"/>
      <c r="W29" s="2"/>
      <c r="X29" s="2"/>
      <c r="Y29" s="2"/>
      <c r="Z29" s="2"/>
    </row>
    <row x14ac:dyDescent="0.25" r="30" customHeight="1" ht="19.5">
      <c r="A30" s="2"/>
      <c r="B30" s="27" t="s">
        <v>5</v>
      </c>
      <c r="C30" s="28" t="s">
        <v>6</v>
      </c>
      <c r="D30" s="28"/>
      <c r="E30" s="28"/>
      <c r="F30" s="28"/>
      <c r="G30" s="29">
        <f>Liikenne!F56</f>
      </c>
      <c r="H30" s="30"/>
      <c r="I30" s="5"/>
      <c r="J30" s="2"/>
      <c r="K30" s="2"/>
      <c r="L30" s="2"/>
      <c r="M30" s="2"/>
      <c r="N30" s="2"/>
      <c r="O30" s="2"/>
      <c r="P30" s="3"/>
      <c r="Q30" s="2"/>
      <c r="R30" s="2"/>
      <c r="S30" s="2"/>
      <c r="T30" s="12"/>
      <c r="U30" s="13"/>
      <c r="V30" s="21"/>
      <c r="W30" s="2"/>
      <c r="X30" s="2"/>
      <c r="Y30" s="2"/>
      <c r="Z30" s="2"/>
    </row>
    <row x14ac:dyDescent="0.25" r="31" customHeight="1" ht="19.5">
      <c r="A31" s="2"/>
      <c r="B31" s="4"/>
      <c r="C31" s="5" t="s">
        <v>7</v>
      </c>
      <c r="D31" s="5"/>
      <c r="E31" s="5"/>
      <c r="F31" s="31"/>
      <c r="G31" s="32">
        <f>Liikenne!F77</f>
      </c>
      <c r="H31" s="30"/>
      <c r="I31" s="5"/>
      <c r="J31" s="2"/>
      <c r="K31" s="2"/>
      <c r="L31" s="2"/>
      <c r="M31" s="2"/>
      <c r="N31" s="2"/>
      <c r="O31" s="2"/>
      <c r="P31" s="3"/>
      <c r="Q31" s="2"/>
      <c r="R31" s="2"/>
      <c r="S31" s="2"/>
      <c r="T31" s="12"/>
      <c r="U31" s="33"/>
      <c r="V31" s="21"/>
      <c r="W31" s="2"/>
      <c r="X31" s="2"/>
      <c r="Y31" s="2"/>
      <c r="Z31" s="2"/>
    </row>
    <row x14ac:dyDescent="0.25" r="32" customHeight="1" ht="19.5">
      <c r="A32" s="2"/>
      <c r="B32" s="4"/>
      <c r="C32" s="5" t="s">
        <v>8</v>
      </c>
      <c r="D32" s="5"/>
      <c r="E32" s="5"/>
      <c r="F32" s="34"/>
      <c r="G32" s="32">
        <f>Liikenne!F84+Liikenne!F66</f>
      </c>
      <c r="H32" s="30"/>
      <c r="I32" s="5"/>
      <c r="J32" s="2"/>
      <c r="K32" s="2"/>
      <c r="L32" s="2"/>
      <c r="M32" s="2"/>
      <c r="N32" s="2"/>
      <c r="O32" s="2"/>
      <c r="P32" s="3"/>
      <c r="Q32" s="2"/>
      <c r="R32" s="2"/>
      <c r="S32" s="2"/>
      <c r="T32" s="12"/>
      <c r="U32" s="13"/>
      <c r="V32" s="21"/>
      <c r="W32" s="2"/>
      <c r="X32" s="2"/>
      <c r="Y32" s="2"/>
      <c r="Z32" s="2"/>
    </row>
    <row x14ac:dyDescent="0.25" r="33" customHeight="1" ht="15.6">
      <c r="A33" s="2"/>
      <c r="B33" s="2"/>
      <c r="C33" s="5" t="s">
        <v>9</v>
      </c>
      <c r="D33" s="5"/>
      <c r="E33" s="5"/>
      <c r="F33" s="35" t="s">
        <v>10</v>
      </c>
      <c r="G33" s="36">
        <f>IF(F33="Ei","0,00",Liikenne!F48)</f>
      </c>
      <c r="H33" s="30"/>
      <c r="I33" s="5"/>
      <c r="J33" s="2"/>
      <c r="K33" s="2"/>
      <c r="L33" s="2"/>
      <c r="M33" s="2"/>
      <c r="N33" s="2"/>
      <c r="O33" s="2"/>
      <c r="P33" s="3"/>
      <c r="Q33" s="2"/>
      <c r="R33" s="2"/>
      <c r="S33" s="2"/>
      <c r="T33" s="12"/>
      <c r="U33" s="13"/>
      <c r="V33" s="21"/>
      <c r="W33" s="2"/>
      <c r="X33" s="2"/>
      <c r="Y33" s="2"/>
      <c r="Z33" s="2"/>
    </row>
    <row x14ac:dyDescent="0.25" r="34" customHeight="1" ht="19.5">
      <c r="A34" s="2"/>
      <c r="B34" s="37" t="s">
        <v>11</v>
      </c>
      <c r="C34" s="38"/>
      <c r="D34" s="38"/>
      <c r="E34" s="38"/>
      <c r="F34" s="39" t="s">
        <v>10</v>
      </c>
      <c r="G34" s="40">
        <f>IF(F34="Ei","0,00",(Infra!F71)/Nykytila!G27)</f>
      </c>
      <c r="H34" s="26" t="s">
        <v>4</v>
      </c>
      <c r="I34" s="5"/>
      <c r="J34" s="2"/>
      <c r="K34" s="2"/>
      <c r="L34" s="2"/>
      <c r="M34" s="2"/>
      <c r="N34" s="2"/>
      <c r="O34" s="2"/>
      <c r="P34" s="3"/>
      <c r="Q34" s="2"/>
      <c r="R34" s="2"/>
      <c r="S34" s="2"/>
      <c r="T34" s="12"/>
      <c r="U34" s="13"/>
      <c r="V34" s="21"/>
      <c r="W34" s="2"/>
      <c r="X34" s="2"/>
      <c r="Y34" s="2"/>
      <c r="Z34" s="2"/>
    </row>
    <row x14ac:dyDescent="0.25" r="35" customHeight="1" ht="19.5">
      <c r="A35" s="2"/>
      <c r="B35" s="41" t="s">
        <v>12</v>
      </c>
      <c r="C35" s="28" t="s">
        <v>13</v>
      </c>
      <c r="D35" s="28"/>
      <c r="E35" s="28"/>
      <c r="F35" s="28"/>
      <c r="G35" s="42">
        <f>IF(G34="0,00","0,00", Infra!F68/Nykytila!G27)</f>
      </c>
      <c r="H35" s="30"/>
      <c r="I35" s="5"/>
      <c r="J35" s="2"/>
      <c r="K35" s="2"/>
      <c r="L35" s="2"/>
      <c r="M35" s="2"/>
      <c r="N35" s="2"/>
      <c r="O35" s="2"/>
      <c r="P35" s="3"/>
      <c r="Q35" s="2"/>
      <c r="R35" s="2"/>
      <c r="S35" s="2"/>
      <c r="T35" s="12"/>
      <c r="U35" s="13"/>
      <c r="V35" s="21"/>
      <c r="W35" s="2"/>
      <c r="X35" s="2"/>
      <c r="Y35" s="2"/>
      <c r="Z35" s="2"/>
    </row>
    <row x14ac:dyDescent="0.25" r="36" customHeight="1" ht="19.5">
      <c r="A36" s="2"/>
      <c r="B36" s="2"/>
      <c r="C36" s="5" t="s">
        <v>14</v>
      </c>
      <c r="D36" s="5"/>
      <c r="E36" s="5"/>
      <c r="F36" s="5"/>
      <c r="G36" s="42">
        <f>IF(G34="0,00", "0,00",Infra!F69/Nykytila!G27)</f>
      </c>
      <c r="H36" s="30"/>
      <c r="I36" s="5"/>
      <c r="J36" s="2"/>
      <c r="K36" s="2"/>
      <c r="L36" s="2"/>
      <c r="M36" s="2"/>
      <c r="N36" s="2"/>
      <c r="O36" s="2"/>
      <c r="P36" s="3"/>
      <c r="Q36" s="2"/>
      <c r="R36" s="2"/>
      <c r="S36" s="2"/>
      <c r="T36" s="12"/>
      <c r="U36" s="13"/>
      <c r="V36" s="21"/>
      <c r="W36" s="2"/>
      <c r="X36" s="2"/>
      <c r="Y36" s="2"/>
      <c r="Z36" s="2"/>
    </row>
    <row x14ac:dyDescent="0.25" r="37" customHeight="1" ht="19.5">
      <c r="A37" s="2"/>
      <c r="B37" s="2"/>
      <c r="C37" s="43" t="s">
        <v>15</v>
      </c>
      <c r="D37" s="43"/>
      <c r="E37" s="43"/>
      <c r="F37" s="43"/>
      <c r="G37" s="42">
        <f>IF(G34="0,00", "0,00",Infra!F70/Nykytila!G27)</f>
      </c>
      <c r="H37" s="30"/>
      <c r="I37" s="4"/>
      <c r="J37" s="2"/>
      <c r="K37" s="2"/>
      <c r="L37" s="2"/>
      <c r="M37" s="2"/>
      <c r="N37" s="2"/>
      <c r="O37" s="2"/>
      <c r="P37" s="3"/>
      <c r="Q37" s="2"/>
      <c r="R37" s="2"/>
      <c r="S37" s="2"/>
      <c r="T37" s="12"/>
      <c r="U37" s="13"/>
      <c r="V37" s="21"/>
      <c r="W37" s="2"/>
      <c r="X37" s="2"/>
      <c r="Y37" s="2"/>
      <c r="Z37" s="2"/>
    </row>
    <row x14ac:dyDescent="0.25" r="38" customHeight="1" ht="16.2">
      <c r="A38" s="2"/>
      <c r="B38" s="37" t="s">
        <v>16</v>
      </c>
      <c r="C38" s="38"/>
      <c r="D38" s="38"/>
      <c r="E38" s="38"/>
      <c r="F38" s="38"/>
      <c r="G38" s="25">
        <f>Ruoka!J70</f>
      </c>
      <c r="H38" s="26" t="s">
        <v>4</v>
      </c>
      <c r="I38" s="6"/>
      <c r="J38" s="2"/>
      <c r="K38" s="2"/>
      <c r="L38" s="2"/>
      <c r="M38" s="2"/>
      <c r="N38" s="2"/>
      <c r="O38" s="2"/>
      <c r="P38" s="3"/>
      <c r="Q38" s="2"/>
      <c r="R38" s="2"/>
      <c r="S38" s="2"/>
      <c r="T38" s="12"/>
      <c r="U38" s="13"/>
      <c r="V38" s="21"/>
      <c r="W38" s="2"/>
      <c r="X38" s="2"/>
      <c r="Y38" s="2"/>
      <c r="Z38" s="2"/>
    </row>
    <row x14ac:dyDescent="0.25" r="39" customHeight="1" ht="16.2">
      <c r="A39" s="2"/>
      <c r="B39" s="44" t="s">
        <v>17</v>
      </c>
      <c r="C39" s="5" t="s">
        <v>18</v>
      </c>
      <c r="D39" s="5"/>
      <c r="E39" s="5"/>
      <c r="F39" s="5"/>
      <c r="G39" s="45">
        <f>Ruoka!J55</f>
      </c>
      <c r="H39" s="30"/>
      <c r="I39" s="6"/>
      <c r="J39" s="2"/>
      <c r="K39" s="2"/>
      <c r="L39" s="2"/>
      <c r="M39" s="2"/>
      <c r="N39" s="2"/>
      <c r="O39" s="2"/>
      <c r="P39" s="3"/>
      <c r="Q39" s="2"/>
      <c r="R39" s="2"/>
      <c r="S39" s="2"/>
      <c r="T39" s="12"/>
      <c r="U39" s="13"/>
      <c r="V39" s="21"/>
      <c r="W39" s="2"/>
      <c r="X39" s="2"/>
      <c r="Y39" s="2"/>
      <c r="Z39" s="2"/>
    </row>
    <row x14ac:dyDescent="0.25" r="40" customHeight="1" ht="17.4">
      <c r="A40" s="2"/>
      <c r="B40" s="4"/>
      <c r="C40" s="5" t="s">
        <v>19</v>
      </c>
      <c r="D40" s="5"/>
      <c r="E40" s="5"/>
      <c r="F40" s="5"/>
      <c r="G40" s="45">
        <f>Ruoka!J62</f>
      </c>
      <c r="H40" s="30"/>
      <c r="I40" s="6"/>
      <c r="J40" s="2"/>
      <c r="K40" s="2"/>
      <c r="L40" s="2"/>
      <c r="M40" s="2"/>
      <c r="N40" s="2"/>
      <c r="O40" s="2"/>
      <c r="P40" s="3"/>
      <c r="Q40" s="2"/>
      <c r="R40" s="2"/>
      <c r="S40" s="2"/>
      <c r="T40" s="12"/>
      <c r="U40" s="46"/>
      <c r="V40" s="21"/>
      <c r="W40" s="2"/>
      <c r="X40" s="2"/>
      <c r="Y40" s="2"/>
      <c r="Z40" s="2"/>
    </row>
    <row x14ac:dyDescent="0.25" r="41" customHeight="1" ht="19.5">
      <c r="A41" s="2"/>
      <c r="B41" s="4"/>
      <c r="C41" s="5" t="s">
        <v>20</v>
      </c>
      <c r="D41" s="5"/>
      <c r="E41" s="5"/>
      <c r="F41" s="5"/>
      <c r="G41" s="45">
        <f>Ruoka!E59</f>
      </c>
      <c r="H41" s="30"/>
      <c r="I41" s="6"/>
      <c r="J41" s="2"/>
      <c r="K41" s="2"/>
      <c r="L41" s="2"/>
      <c r="M41" s="2"/>
      <c r="N41" s="2"/>
      <c r="O41" s="2"/>
      <c r="P41" s="3"/>
      <c r="Q41" s="2"/>
      <c r="R41" s="2"/>
      <c r="S41" s="2"/>
      <c r="T41" s="12"/>
      <c r="U41" s="13"/>
      <c r="V41" s="21"/>
      <c r="W41" s="2"/>
      <c r="X41" s="2"/>
      <c r="Y41" s="2"/>
      <c r="Z41" s="2"/>
    </row>
    <row x14ac:dyDescent="0.25" r="42" customHeight="1" ht="19.5">
      <c r="A42" s="2"/>
      <c r="B42" s="4"/>
      <c r="C42" s="5" t="s">
        <v>21</v>
      </c>
      <c r="D42" s="5"/>
      <c r="E42" s="5"/>
      <c r="F42" s="5"/>
      <c r="G42" s="45">
        <f>Ruoka!E53</f>
      </c>
      <c r="H42" s="30"/>
      <c r="I42" s="6"/>
      <c r="J42" s="2"/>
      <c r="K42" s="2"/>
      <c r="L42" s="2"/>
      <c r="M42" s="2"/>
      <c r="N42" s="2"/>
      <c r="O42" s="2"/>
      <c r="P42" s="3"/>
      <c r="Q42" s="2"/>
      <c r="R42" s="2"/>
      <c r="S42" s="2"/>
      <c r="T42" s="12"/>
      <c r="U42" s="13"/>
      <c r="V42" s="21"/>
      <c r="W42" s="2"/>
      <c r="X42" s="2"/>
      <c r="Y42" s="2"/>
      <c r="Z42" s="2"/>
    </row>
    <row x14ac:dyDescent="0.25" r="43" customHeight="1" ht="19.5">
      <c r="A43" s="2"/>
      <c r="B43" s="2"/>
      <c r="C43" s="5" t="s">
        <v>22</v>
      </c>
      <c r="D43" s="5"/>
      <c r="E43" s="5"/>
      <c r="F43" s="5"/>
      <c r="G43" s="45">
        <f>Ruoka!E62</f>
      </c>
      <c r="H43" s="30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12"/>
      <c r="U43" s="13"/>
      <c r="V43" s="21"/>
      <c r="W43" s="2"/>
      <c r="X43" s="2"/>
      <c r="Y43" s="2"/>
      <c r="Z43" s="2"/>
    </row>
    <row x14ac:dyDescent="0.25" r="44" customHeight="1" ht="19.5">
      <c r="A44" s="2"/>
      <c r="B44" s="37" t="s">
        <v>23</v>
      </c>
      <c r="C44" s="37"/>
      <c r="D44" s="37"/>
      <c r="E44" s="37"/>
      <c r="F44" s="37"/>
      <c r="G44" s="47">
        <f>SUM(G29+G34+G38)</f>
      </c>
      <c r="H44" s="26" t="s">
        <v>4</v>
      </c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12"/>
      <c r="U44" s="13"/>
      <c r="V44" s="21"/>
      <c r="W44" s="2"/>
      <c r="X44" s="2"/>
      <c r="Y44" s="2"/>
      <c r="Z44" s="2"/>
    </row>
    <row x14ac:dyDescent="0.25" r="45" customHeight="1" ht="19.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10"/>
      <c r="U45" s="48"/>
      <c r="V45" s="49"/>
      <c r="W45" s="2"/>
      <c r="X45" s="2"/>
      <c r="Y45" s="2"/>
      <c r="Z45" s="2"/>
    </row>
    <row x14ac:dyDescent="0.25" r="46" customHeight="1" ht="19.5">
      <c r="A46" s="2"/>
      <c r="B46" s="2"/>
      <c r="C46" s="50" t="s">
        <v>24</v>
      </c>
      <c r="D46" s="51"/>
      <c r="E46" s="51"/>
      <c r="F46" s="51"/>
      <c r="G46" s="5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53"/>
      <c r="C47" s="51"/>
      <c r="D47" s="51"/>
      <c r="E47" s="51"/>
      <c r="F47" s="51"/>
      <c r="G47" s="52"/>
      <c r="H47" s="6"/>
      <c r="I47" s="6"/>
      <c r="J47" s="6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2"/>
      <c r="D48" s="2"/>
      <c r="E48" s="2"/>
      <c r="F48" s="2"/>
      <c r="G48" s="52"/>
      <c r="H48" s="6"/>
      <c r="I48" s="6"/>
      <c r="J48" s="6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53"/>
      <c r="C49" s="51"/>
      <c r="D49" s="51"/>
      <c r="E49" s="51"/>
      <c r="F49" s="51"/>
      <c r="G49" s="52"/>
      <c r="H49" s="6"/>
      <c r="I49" s="6"/>
      <c r="J49" s="6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2"/>
      <c r="D50" s="2"/>
      <c r="E50" s="2"/>
      <c r="F50" s="51"/>
      <c r="G50" s="52"/>
      <c r="H50" s="6"/>
      <c r="I50" s="6"/>
      <c r="J50" s="6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8"/>
      <c r="C51" s="6"/>
      <c r="D51" s="6"/>
      <c r="E51" s="6"/>
      <c r="F51" s="6"/>
      <c r="G51" s="7"/>
      <c r="H51" s="6"/>
      <c r="I51" s="6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2"/>
      <c r="D53" s="2"/>
      <c r="E53" s="2"/>
      <c r="F53" s="6"/>
      <c r="G53" s="7"/>
      <c r="H53" s="6"/>
      <c r="I53" s="4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9.5">
      <c r="A54" s="2"/>
      <c r="B54" s="2"/>
      <c r="C54" s="2"/>
      <c r="D54" s="2"/>
      <c r="E54" s="2"/>
      <c r="F54" s="6"/>
      <c r="G54" s="7"/>
      <c r="H54" s="6"/>
      <c r="I54" s="5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9.5">
      <c r="A55" s="2"/>
      <c r="B55" s="2"/>
      <c r="C55" s="2"/>
      <c r="D55" s="2"/>
      <c r="E55" s="2"/>
      <c r="F55" s="54"/>
      <c r="G55" s="55"/>
      <c r="H55" s="54"/>
      <c r="I55" s="56"/>
      <c r="J55" s="54"/>
      <c r="K55" s="54"/>
      <c r="L55" s="54"/>
      <c r="M55" s="54"/>
      <c r="N55" s="54"/>
      <c r="O55" s="54"/>
      <c r="P55" s="55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x14ac:dyDescent="0.25" r="56" customHeight="1" ht="19.5">
      <c r="A56" s="2"/>
      <c r="B56" s="57"/>
      <c r="C56" s="2"/>
      <c r="D56" s="2"/>
      <c r="E56" s="2"/>
      <c r="F56" s="2"/>
      <c r="G56" s="3"/>
      <c r="H56" s="2"/>
      <c r="I56" s="4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58"/>
      <c r="C57" s="51"/>
      <c r="D57" s="51"/>
      <c r="E57" s="51"/>
      <c r="F57" s="2"/>
      <c r="G57" s="3"/>
      <c r="H57" s="2"/>
      <c r="I57" s="5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5"/>
      <c r="C58" s="5"/>
      <c r="D58" s="5"/>
      <c r="E58" s="5"/>
      <c r="F58" s="5"/>
      <c r="G58" s="59"/>
      <c r="H58" s="60"/>
      <c r="I58" s="60"/>
      <c r="J58" s="5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9.5">
      <c r="A60" s="2"/>
      <c r="B60" s="2"/>
      <c r="C60" s="2"/>
      <c r="D60" s="2"/>
      <c r="E60" s="2"/>
      <c r="F60" s="2"/>
      <c r="G60" s="3"/>
      <c r="H60" s="2"/>
      <c r="I60" s="2"/>
      <c r="J60" s="6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9.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9.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9.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9.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9.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9.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9.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9.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9.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9.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9.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9.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9.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9.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9.5">
      <c r="A75" s="2"/>
      <c r="B75" s="61" t="s">
        <v>16</v>
      </c>
      <c r="C75" s="62"/>
      <c r="D75" s="62"/>
      <c r="E75" s="62"/>
      <c r="F75" s="62"/>
      <c r="G75" s="63">
        <f>Ruoka!$J$70</f>
      </c>
      <c r="H75" s="61" t="s">
        <v>25</v>
      </c>
      <c r="I75" s="8"/>
      <c r="J75" s="8"/>
      <c r="K75" s="64" t="s">
        <v>26</v>
      </c>
      <c r="L75" s="64"/>
      <c r="M75" s="64"/>
      <c r="N75" s="64"/>
      <c r="O75" s="64"/>
      <c r="P75" s="65">
        <f>Liikenne!G87</f>
      </c>
      <c r="Q75" s="64" t="s">
        <v>25</v>
      </c>
      <c r="R75" s="2"/>
      <c r="S75" s="2"/>
      <c r="T75" s="66" t="s">
        <v>27</v>
      </c>
      <c r="U75" s="67"/>
      <c r="V75" s="67"/>
      <c r="W75" s="67"/>
      <c r="X75" s="67"/>
      <c r="Y75" s="68">
        <f>G34</f>
      </c>
      <c r="Z75" s="66" t="s">
        <v>25</v>
      </c>
    </row>
    <row x14ac:dyDescent="0.25" r="76" customHeight="1" ht="19.5">
      <c r="A76" s="2"/>
      <c r="B76" s="5" t="s">
        <v>18</v>
      </c>
      <c r="C76" s="6"/>
      <c r="D76" s="6"/>
      <c r="E76" s="6"/>
      <c r="F76" s="6"/>
      <c r="G76" s="69">
        <f>Ruoka!$J$55</f>
      </c>
      <c r="H76" s="4"/>
      <c r="I76" s="2"/>
      <c r="J76" s="2"/>
      <c r="K76" s="6" t="s">
        <v>28</v>
      </c>
      <c r="L76" s="2"/>
      <c r="M76" s="2"/>
      <c r="N76" s="2"/>
      <c r="O76" s="2"/>
      <c r="P76" s="69">
        <f>Liikenne!F56</f>
      </c>
      <c r="Q76" s="2"/>
      <c r="R76" s="2"/>
      <c r="S76" s="2"/>
      <c r="T76" s="5" t="s">
        <v>13</v>
      </c>
      <c r="U76" s="2"/>
      <c r="V76" s="2"/>
      <c r="W76" s="2"/>
      <c r="X76" s="2"/>
      <c r="Y76" s="70">
        <f>G35</f>
      </c>
      <c r="Z76" s="2"/>
    </row>
    <row x14ac:dyDescent="0.25" r="77" customHeight="1" ht="19.5">
      <c r="A77" s="2"/>
      <c r="B77" s="5" t="s">
        <v>19</v>
      </c>
      <c r="C77" s="5"/>
      <c r="D77" s="5"/>
      <c r="E77" s="5"/>
      <c r="F77" s="5"/>
      <c r="G77" s="71">
        <f>Ruoka!$J$62</f>
      </c>
      <c r="H77" s="5"/>
      <c r="I77" s="2"/>
      <c r="J77" s="2"/>
      <c r="K77" s="6" t="s">
        <v>29</v>
      </c>
      <c r="L77" s="2"/>
      <c r="M77" s="2"/>
      <c r="N77" s="2"/>
      <c r="O77" s="2"/>
      <c r="P77" s="69">
        <f>Liikenne!F66</f>
      </c>
      <c r="Q77" s="2"/>
      <c r="R77" s="2"/>
      <c r="S77" s="2"/>
      <c r="T77" s="5" t="s">
        <v>14</v>
      </c>
      <c r="U77" s="2"/>
      <c r="V77" s="2"/>
      <c r="W77" s="2"/>
      <c r="X77" s="2"/>
      <c r="Y77" s="70">
        <f>G36</f>
      </c>
      <c r="Z77" s="2"/>
    </row>
    <row x14ac:dyDescent="0.25" r="78" customHeight="1" ht="19.5">
      <c r="A78" s="2"/>
      <c r="B78" s="5" t="s">
        <v>30</v>
      </c>
      <c r="C78" s="5"/>
      <c r="D78" s="5"/>
      <c r="E78" s="5"/>
      <c r="F78" s="5"/>
      <c r="G78" s="71">
        <f>Ruoka!$J$67</f>
      </c>
      <c r="H78" s="4"/>
      <c r="I78" s="2"/>
      <c r="J78" s="2"/>
      <c r="K78" s="5" t="s">
        <v>31</v>
      </c>
      <c r="L78" s="2"/>
      <c r="M78" s="2"/>
      <c r="N78" s="2"/>
      <c r="O78" s="2"/>
      <c r="P78" s="69">
        <f>Liikenne!F77</f>
      </c>
      <c r="Q78" s="2"/>
      <c r="R78" s="2"/>
      <c r="S78" s="2"/>
      <c r="T78" s="43" t="s">
        <v>15</v>
      </c>
      <c r="U78" s="54"/>
      <c r="V78" s="54"/>
      <c r="W78" s="54"/>
      <c r="X78" s="54"/>
      <c r="Y78" s="70">
        <f>G37</f>
      </c>
      <c r="Z78" s="54"/>
    </row>
    <row x14ac:dyDescent="0.25" r="79" customHeight="1" ht="19.5">
      <c r="A79" s="2"/>
      <c r="B79" s="5" t="s">
        <v>20</v>
      </c>
      <c r="C79" s="5"/>
      <c r="D79" s="5"/>
      <c r="E79" s="5"/>
      <c r="F79" s="5"/>
      <c r="G79" s="71">
        <f>Ruoka!$E$59</f>
      </c>
      <c r="H79" s="2"/>
      <c r="I79" s="2"/>
      <c r="J79" s="2"/>
      <c r="K79" s="5" t="s">
        <v>32</v>
      </c>
      <c r="L79" s="2"/>
      <c r="M79" s="2"/>
      <c r="N79" s="2"/>
      <c r="O79" s="2"/>
      <c r="P79" s="69">
        <f>Liikenne!F84</f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9.5">
      <c r="A80" s="2"/>
      <c r="B80" s="43" t="s">
        <v>33</v>
      </c>
      <c r="C80" s="43"/>
      <c r="D80" s="43"/>
      <c r="E80" s="43"/>
      <c r="F80" s="43"/>
      <c r="G80" s="71">
        <f>Ruoka!$E$62</f>
      </c>
      <c r="H80" s="43"/>
      <c r="I80" s="2"/>
      <c r="J80" s="2"/>
      <c r="K80" s="54" t="s">
        <v>34</v>
      </c>
      <c r="L80" s="54"/>
      <c r="M80" s="54"/>
      <c r="N80" s="54"/>
      <c r="O80" s="54"/>
      <c r="P80" s="69">
        <f>G33</f>
      </c>
      <c r="Q80" s="54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9.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9.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9.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9.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9.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9.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9.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9.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9.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9.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9.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9.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9.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9.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9.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9.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7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9.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9.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9.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9.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9.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9.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9.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9.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9.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9.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9.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9.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9.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9.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9.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9.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Nykytila</vt:lpstr>
      <vt:lpstr>Ruoka</vt:lpstr>
      <vt:lpstr>Liikenne</vt:lpstr>
      <vt:lpstr>Infra</vt:lpstr>
      <vt:lpstr>Kertoimet</vt:lpstr>
      <vt:lpstr>Yhteenveto Koulu</vt:lpstr>
      <vt:lpstr>Yhteenveto Oma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2022-09-14T11:19:32.190Z</dcterms:created>
  <dcterms:modified xsi:type="dcterms:W3CDTF">2022-09-14T11:19:32.190Z</dcterms:modified>
</cp:coreProperties>
</file>