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PC\Desktop\"/>
    </mc:Choice>
  </mc:AlternateContent>
  <xr:revisionPtr revIDLastSave="0" documentId="13_ncr:1_{8722E40E-20C2-4222-A7A8-CBCB3DA1BDC7}" xr6:coauthVersionLast="47" xr6:coauthVersionMax="47" xr10:uidLastSave="{00000000-0000-0000-0000-000000000000}"/>
  <bookViews>
    <workbookView xWindow="-110" yWindow="-110" windowWidth="19420" windowHeight="10420" firstSheet="5" activeTab="8" xr2:uid="{675F7C9E-9C11-418C-B056-50EAB5060FF1}"/>
  </bookViews>
  <sheets>
    <sheet name="ONE-WAY TABLE" sheetId="1" r:id="rId1"/>
    <sheet name="TWO-WAY TABLE" sheetId="3" r:id="rId2"/>
    <sheet name="Sheet1" sheetId="4" r:id="rId3"/>
    <sheet name="Sheet 2" sheetId="5" r:id="rId4"/>
    <sheet name="QUESTION FOR &gt;&gt;&gt;" sheetId="7" r:id="rId5"/>
    <sheet name="Modeling Demand and Price" sheetId="6" r:id="rId6"/>
    <sheet name="Sheet3" sheetId="8" r:id="rId7"/>
    <sheet name="MODELING NPV" sheetId="10" r:id="rId8"/>
    <sheet name="Linear Programming" sheetId="11" r:id="rId9"/>
    <sheet name="Sheet4" sheetId="12" r:id="rId10"/>
    <sheet name="LP and Net Profit" sheetId="13" r:id="rId11"/>
    <sheet name="Sheet5" sheetId="14" r:id="rId12"/>
    <sheet name="Investment Allocation With LP" sheetId="15" r:id="rId13"/>
    <sheet name="Sheet7" sheetId="16" r:id="rId14"/>
    <sheet name="LP and Transportation" sheetId="17" r:id="rId15"/>
    <sheet name="Sheet9" sheetId="18" r:id="rId16"/>
    <sheet name="Sheet10" sheetId="19" r:id="rId17"/>
    <sheet name="TRANSPORTATION PROBLEM 1" sheetId="20" r:id="rId18"/>
    <sheet name="Transportation-Assignment" sheetId="24" r:id="rId19"/>
    <sheet name="&lt;&lt;&lt;Exampe" sheetId="25" r:id="rId20"/>
    <sheet name="College Professors' Assignment" sheetId="26" r:id="rId21"/>
    <sheet name="Umbrella Store Assignment" sheetId="27" r:id="rId22"/>
    <sheet name="Maxie's Workers Assingment" sheetId="28" r:id="rId23"/>
    <sheet name="INTEGER PROGRAMMING" sheetId="29" r:id="rId24"/>
    <sheet name="MIXED INTERGER PROGRAMMING" sheetId="30" r:id="rId25"/>
    <sheet name="Try Work" sheetId="31" r:id="rId26"/>
    <sheet name="Sheet2" sheetId="32" r:id="rId27"/>
    <sheet name="Non-Linear Programming " sheetId="33" r:id="rId28"/>
    <sheet name="NL PROGRAMMING example" sheetId="34" r:id="rId29"/>
    <sheet name="Sheet11" sheetId="35" r:id="rId30"/>
    <sheet name="Sheet12" sheetId="36" r:id="rId31"/>
  </sheets>
  <definedNames>
    <definedName name="solver_adj" localSheetId="19" hidden="1">'&lt;&lt;&lt;Exampe'!$C$11:$F$14</definedName>
    <definedName name="solver_adj" localSheetId="20" hidden="1">'College Professors'' Assignment'!$C$10:$F$13</definedName>
    <definedName name="solver_adj" localSheetId="23" hidden="1">'INTEGER PROGRAMMING'!$B$4:$C$4</definedName>
    <definedName name="solver_adj" localSheetId="12" hidden="1">'Investment Allocation With LP'!$B$3:$F$3</definedName>
    <definedName name="solver_adj" localSheetId="8" hidden="1">'Linear Programming'!$E$4:$F$4</definedName>
    <definedName name="solver_adj" localSheetId="10" hidden="1">'LP and Net Profit'!$B$3:$C$3</definedName>
    <definedName name="solver_adj" localSheetId="14" hidden="1">'LP and Transportation'!$C$3:$Q$3</definedName>
    <definedName name="solver_adj" localSheetId="22" hidden="1">'Maxie''s Workers Assingment'!$C$13:$E$15</definedName>
    <definedName name="solver_adj" localSheetId="24" hidden="1">'MIXED INTERGER PROGRAMMING'!$C$4:$D$4</definedName>
    <definedName name="solver_adj" localSheetId="28" hidden="1">'NL PROGRAMMING example'!$B$3:$C$3</definedName>
    <definedName name="solver_adj" localSheetId="27" hidden="1">'Non-Linear Programming '!$B$7:$C$7</definedName>
    <definedName name="solver_adj" localSheetId="16" hidden="1">Sheet10!$B$3:$C$3</definedName>
    <definedName name="solver_adj" localSheetId="29" hidden="1">Sheet11!$B$3</definedName>
    <definedName name="solver_adj" localSheetId="30" hidden="1">Sheet12!$B$15</definedName>
    <definedName name="solver_adj" localSheetId="26" hidden="1">Sheet2!$B$3:$H$3</definedName>
    <definedName name="solver_adj" localSheetId="9" hidden="1">Sheet4!$B$2:$C$2</definedName>
    <definedName name="solver_adj" localSheetId="11" hidden="1">Sheet5!$B$4:$C$4</definedName>
    <definedName name="solver_adj" localSheetId="13" hidden="1">Sheet7!$C$3:$E$3</definedName>
    <definedName name="solver_adj" localSheetId="15" hidden="1">Sheet9!$E$3:$I$3</definedName>
    <definedName name="solver_adj" localSheetId="17" hidden="1">'TRANSPORTATION PROBLEM 1'!$B$4:$D$6</definedName>
    <definedName name="solver_adj" localSheetId="18" hidden="1">'Transportation-Assignment'!$B$13:$E$15</definedName>
    <definedName name="solver_adj" localSheetId="25" hidden="1">'Try Work'!$B$4:$C$4</definedName>
    <definedName name="solver_adj" localSheetId="21" hidden="1">'Umbrella Store Assignment'!$C$11:$E$12</definedName>
    <definedName name="solver_cvg" localSheetId="19" hidden="1">0.0001</definedName>
    <definedName name="solver_cvg" localSheetId="20" hidden="1">0.0001</definedName>
    <definedName name="solver_cvg" localSheetId="23" hidden="1">0.0001</definedName>
    <definedName name="solver_cvg" localSheetId="12" hidden="1">0.0001</definedName>
    <definedName name="solver_cvg" localSheetId="8" hidden="1">0.0001</definedName>
    <definedName name="solver_cvg" localSheetId="10" hidden="1">0.0001</definedName>
    <definedName name="solver_cvg" localSheetId="14" hidden="1">0.0001</definedName>
    <definedName name="solver_cvg" localSheetId="22" hidden="1">0.0001</definedName>
    <definedName name="solver_cvg" localSheetId="24" hidden="1">0.0001</definedName>
    <definedName name="solver_cvg" localSheetId="28" hidden="1">0.0001</definedName>
    <definedName name="solver_cvg" localSheetId="27" hidden="1">0.0001</definedName>
    <definedName name="solver_cvg" localSheetId="16" hidden="1">0.0001</definedName>
    <definedName name="solver_cvg" localSheetId="29" hidden="1">0.0001</definedName>
    <definedName name="solver_cvg" localSheetId="30" hidden="1">0.0001</definedName>
    <definedName name="solver_cvg" localSheetId="26" hidden="1">0.0001</definedName>
    <definedName name="solver_cvg" localSheetId="9" hidden="1">0.0001</definedName>
    <definedName name="solver_cvg" localSheetId="11" hidden="1">0.0001</definedName>
    <definedName name="solver_cvg" localSheetId="13" hidden="1">0.0001</definedName>
    <definedName name="solver_cvg" localSheetId="15" hidden="1">0.0001</definedName>
    <definedName name="solver_cvg" localSheetId="17" hidden="1">0.0001</definedName>
    <definedName name="solver_cvg" localSheetId="18" hidden="1">0.0001</definedName>
    <definedName name="solver_cvg" localSheetId="25" hidden="1">0.0001</definedName>
    <definedName name="solver_cvg" localSheetId="21" hidden="1">0.0001</definedName>
    <definedName name="solver_drv" localSheetId="19" hidden="1">1</definedName>
    <definedName name="solver_drv" localSheetId="20" hidden="1">1</definedName>
    <definedName name="solver_drv" localSheetId="23" hidden="1">1</definedName>
    <definedName name="solver_drv" localSheetId="12" hidden="1">1</definedName>
    <definedName name="solver_drv" localSheetId="8" hidden="1">2</definedName>
    <definedName name="solver_drv" localSheetId="10" hidden="1">2</definedName>
    <definedName name="solver_drv" localSheetId="14" hidden="1">1</definedName>
    <definedName name="solver_drv" localSheetId="22" hidden="1">1</definedName>
    <definedName name="solver_drv" localSheetId="24" hidden="1">2</definedName>
    <definedName name="solver_drv" localSheetId="28" hidden="1">1</definedName>
    <definedName name="solver_drv" localSheetId="27" hidden="1">1</definedName>
    <definedName name="solver_drv" localSheetId="16" hidden="1">1</definedName>
    <definedName name="solver_drv" localSheetId="29" hidden="1">1</definedName>
    <definedName name="solver_drv" localSheetId="30" hidden="1">1</definedName>
    <definedName name="solver_drv" localSheetId="26" hidden="1">1</definedName>
    <definedName name="solver_drv" localSheetId="9" hidden="1">1</definedName>
    <definedName name="solver_drv" localSheetId="11" hidden="1">1</definedName>
    <definedName name="solver_drv" localSheetId="13" hidden="1">1</definedName>
    <definedName name="solver_drv" localSheetId="15" hidden="1">1</definedName>
    <definedName name="solver_drv" localSheetId="17" hidden="1">1</definedName>
    <definedName name="solver_drv" localSheetId="18" hidden="1">1</definedName>
    <definedName name="solver_drv" localSheetId="25" hidden="1">1</definedName>
    <definedName name="solver_drv" localSheetId="21" hidden="1">1</definedName>
    <definedName name="solver_eng" localSheetId="19" hidden="1">2</definedName>
    <definedName name="solver_eng" localSheetId="20" hidden="1">2</definedName>
    <definedName name="solver_eng" localSheetId="23" hidden="1">2</definedName>
    <definedName name="solver_eng" localSheetId="12" hidden="1">2</definedName>
    <definedName name="solver_eng" localSheetId="8" hidden="1">2</definedName>
    <definedName name="solver_eng" localSheetId="10" hidden="1">2</definedName>
    <definedName name="solver_eng" localSheetId="14" hidden="1">2</definedName>
    <definedName name="solver_eng" localSheetId="22" hidden="1">2</definedName>
    <definedName name="solver_eng" localSheetId="24" hidden="1">2</definedName>
    <definedName name="solver_eng" localSheetId="28" hidden="1">1</definedName>
    <definedName name="solver_eng" localSheetId="27" hidden="1">1</definedName>
    <definedName name="solver_eng" localSheetId="16" hidden="1">2</definedName>
    <definedName name="solver_eng" localSheetId="29" hidden="1">1</definedName>
    <definedName name="solver_eng" localSheetId="30" hidden="1">2</definedName>
    <definedName name="solver_eng" localSheetId="26" hidden="1">2</definedName>
    <definedName name="solver_eng" localSheetId="9" hidden="1">2</definedName>
    <definedName name="solver_eng" localSheetId="11" hidden="1">2</definedName>
    <definedName name="solver_eng" localSheetId="13" hidden="1">2</definedName>
    <definedName name="solver_eng" localSheetId="15" hidden="1">2</definedName>
    <definedName name="solver_eng" localSheetId="17" hidden="1">2</definedName>
    <definedName name="solver_eng" localSheetId="18" hidden="1">2</definedName>
    <definedName name="solver_eng" localSheetId="25" hidden="1">2</definedName>
    <definedName name="solver_eng" localSheetId="21" hidden="1">2</definedName>
    <definedName name="solver_est" localSheetId="19" hidden="1">1</definedName>
    <definedName name="solver_est" localSheetId="20" hidden="1">1</definedName>
    <definedName name="solver_est" localSheetId="23" hidden="1">1</definedName>
    <definedName name="solver_est" localSheetId="12" hidden="1">1</definedName>
    <definedName name="solver_est" localSheetId="8" hidden="1">1</definedName>
    <definedName name="solver_est" localSheetId="10" hidden="1">1</definedName>
    <definedName name="solver_est" localSheetId="14" hidden="1">1</definedName>
    <definedName name="solver_est" localSheetId="22" hidden="1">1</definedName>
    <definedName name="solver_est" localSheetId="24" hidden="1">1</definedName>
    <definedName name="solver_est" localSheetId="28" hidden="1">1</definedName>
    <definedName name="solver_est" localSheetId="27" hidden="1">1</definedName>
    <definedName name="solver_est" localSheetId="16" hidden="1">1</definedName>
    <definedName name="solver_est" localSheetId="29" hidden="1">1</definedName>
    <definedName name="solver_est" localSheetId="30" hidden="1">1</definedName>
    <definedName name="solver_est" localSheetId="26" hidden="1">1</definedName>
    <definedName name="solver_est" localSheetId="9" hidden="1">1</definedName>
    <definedName name="solver_est" localSheetId="11" hidden="1">1</definedName>
    <definedName name="solver_est" localSheetId="13" hidden="1">1</definedName>
    <definedName name="solver_est" localSheetId="15" hidden="1">1</definedName>
    <definedName name="solver_est" localSheetId="17" hidden="1">1</definedName>
    <definedName name="solver_est" localSheetId="18" hidden="1">1</definedName>
    <definedName name="solver_est" localSheetId="25" hidden="1">1</definedName>
    <definedName name="solver_est" localSheetId="21" hidden="1">1</definedName>
    <definedName name="solver_itr" localSheetId="19" hidden="1">2147483647</definedName>
    <definedName name="solver_itr" localSheetId="20" hidden="1">2147483647</definedName>
    <definedName name="solver_itr" localSheetId="23" hidden="1">2147483647</definedName>
    <definedName name="solver_itr" localSheetId="12" hidden="1">2147483647</definedName>
    <definedName name="solver_itr" localSheetId="8" hidden="1">2147483647</definedName>
    <definedName name="solver_itr" localSheetId="10" hidden="1">2147483647</definedName>
    <definedName name="solver_itr" localSheetId="14" hidden="1">2147483647</definedName>
    <definedName name="solver_itr" localSheetId="22" hidden="1">2147483647</definedName>
    <definedName name="solver_itr" localSheetId="24" hidden="1">2147483647</definedName>
    <definedName name="solver_itr" localSheetId="28" hidden="1">2147483647</definedName>
    <definedName name="solver_itr" localSheetId="27" hidden="1">2147483647</definedName>
    <definedName name="solver_itr" localSheetId="16" hidden="1">2147483647</definedName>
    <definedName name="solver_itr" localSheetId="29" hidden="1">2147483647</definedName>
    <definedName name="solver_itr" localSheetId="30" hidden="1">2147483647</definedName>
    <definedName name="solver_itr" localSheetId="26" hidden="1">2147483647</definedName>
    <definedName name="solver_itr" localSheetId="9" hidden="1">2147483647</definedName>
    <definedName name="solver_itr" localSheetId="11" hidden="1">2147483647</definedName>
    <definedName name="solver_itr" localSheetId="13" hidden="1">2147483647</definedName>
    <definedName name="solver_itr" localSheetId="15" hidden="1">2147483647</definedName>
    <definedName name="solver_itr" localSheetId="17" hidden="1">2147483647</definedName>
    <definedName name="solver_itr" localSheetId="18" hidden="1">2147483647</definedName>
    <definedName name="solver_itr" localSheetId="25" hidden="1">2147483647</definedName>
    <definedName name="solver_itr" localSheetId="21" hidden="1">2147483647</definedName>
    <definedName name="solver_lhs1" localSheetId="19" hidden="1">'&lt;&lt;&lt;Exampe'!$C$15:$F$15</definedName>
    <definedName name="solver_lhs1" localSheetId="20" hidden="1">'College Professors'' Assignment'!$C$14:$F$14</definedName>
    <definedName name="solver_lhs1" localSheetId="23" hidden="1">'INTEGER PROGRAMMING'!$B$4:$C$4</definedName>
    <definedName name="solver_lhs1" localSheetId="12" hidden="1">'Investment Allocation With LP'!$G$11</definedName>
    <definedName name="solver_lhs1" localSheetId="8" hidden="1">'Linear Programming'!$E$4:$F$4</definedName>
    <definedName name="solver_lhs1" localSheetId="10" hidden="1">'LP and Net Profit'!$D$14:$D$17</definedName>
    <definedName name="solver_lhs1" localSheetId="14" hidden="1">'LP and Transportation'!$R$11:$R$15</definedName>
    <definedName name="solver_lhs1" localSheetId="22" hidden="1">'Maxie''s Workers Assingment'!$C$16:$E$16</definedName>
    <definedName name="solver_lhs1" localSheetId="24" hidden="1">'MIXED INTERGER PROGRAMMING'!$C$4</definedName>
    <definedName name="solver_lhs1" localSheetId="28" hidden="1">'NL PROGRAMMING example'!$B$3:$C$3</definedName>
    <definedName name="solver_lhs1" localSheetId="27" hidden="1">'Non-Linear Programming '!$D$16</definedName>
    <definedName name="solver_lhs1" localSheetId="16" hidden="1">Sheet10!$D$8:$D$9</definedName>
    <definedName name="solver_lhs1" localSheetId="29" hidden="1">Sheet11!$B$3</definedName>
    <definedName name="solver_lhs1" localSheetId="30" hidden="1">Sheet12!$D$23</definedName>
    <definedName name="solver_lhs1" localSheetId="26" hidden="1">Sheet2!$B$3:$H$3</definedName>
    <definedName name="solver_lhs1" localSheetId="9" hidden="1">Sheet4!$D$10</definedName>
    <definedName name="solver_lhs1" localSheetId="11" hidden="1">Sheet5!$D$11:$D$12</definedName>
    <definedName name="solver_lhs1" localSheetId="13" hidden="1">Sheet7!$G$17:$G$21</definedName>
    <definedName name="solver_lhs1" localSheetId="15" hidden="1">Sheet9!$J$13:$J$17</definedName>
    <definedName name="solver_lhs1" localSheetId="17" hidden="1">'TRANSPORTATION PROBLEM 1'!$B$7:$D$7</definedName>
    <definedName name="solver_lhs1" localSheetId="18" hidden="1">'Transportation-Assignment'!$B$16:$E$16</definedName>
    <definedName name="solver_lhs1" localSheetId="25" hidden="1">'Try Work'!$B$4:$C$4</definedName>
    <definedName name="solver_lhs1" localSheetId="21" hidden="1">'Umbrella Store Assignment'!$C$13:$E$13</definedName>
    <definedName name="solver_lhs2" localSheetId="19" hidden="1">'&lt;&lt;&lt;Exampe'!$F$13</definedName>
    <definedName name="solver_lhs2" localSheetId="20" hidden="1">'College Professors'' Assignment'!$G$10:$G$13</definedName>
    <definedName name="solver_lhs2" localSheetId="23" hidden="1">'INTEGER PROGRAMMING'!$D$12:$D$13</definedName>
    <definedName name="solver_lhs2" localSheetId="12" hidden="1">'Investment Allocation With LP'!$G$12</definedName>
    <definedName name="solver_lhs2" localSheetId="8" hidden="1">'Linear Programming'!$G$17</definedName>
    <definedName name="solver_lhs2" localSheetId="14" hidden="1">'LP and Transportation'!$R$8:$R$10</definedName>
    <definedName name="solver_lhs2" localSheetId="22" hidden="1">'Maxie''s Workers Assingment'!$F$13:$F$15</definedName>
    <definedName name="solver_lhs2" localSheetId="24" hidden="1">'MIXED INTERGER PROGRAMMING'!$E$11:$E$13</definedName>
    <definedName name="solver_lhs2" localSheetId="28" hidden="1">'NL PROGRAMMING example'!$D$13</definedName>
    <definedName name="solver_lhs2" localSheetId="27" hidden="1">'Non-Linear Programming '!$D$17</definedName>
    <definedName name="solver_lhs2" localSheetId="29" hidden="1">Sheet11!$C$13</definedName>
    <definedName name="solver_lhs2" localSheetId="30" hidden="1">Sheet12!$D$24</definedName>
    <definedName name="solver_lhs2" localSheetId="26" hidden="1">Sheet2!$I$15</definedName>
    <definedName name="solver_lhs2" localSheetId="9" hidden="1">Sheet4!$D$11</definedName>
    <definedName name="solver_lhs2" localSheetId="13" hidden="1">Sheet7!$G$22</definedName>
    <definedName name="solver_lhs2" localSheetId="17" hidden="1">'TRANSPORTATION PROBLEM 1'!$E$4:$E$6</definedName>
    <definedName name="solver_lhs2" localSheetId="18" hidden="1">'Transportation-Assignment'!$F$13:$F$15</definedName>
    <definedName name="solver_lhs2" localSheetId="25" hidden="1">'Try Work'!$D$10:$D$12</definedName>
    <definedName name="solver_lhs2" localSheetId="21" hidden="1">'Umbrella Store Assignment'!$F$11:$F$12</definedName>
    <definedName name="solver_lhs3" localSheetId="19" hidden="1">'&lt;&lt;&lt;Exampe'!$G$11:$G$14</definedName>
    <definedName name="solver_lhs3" localSheetId="23" hidden="1">'INTEGER PROGRAMMING'!$D$14</definedName>
    <definedName name="solver_lhs3" localSheetId="12" hidden="1">'Investment Allocation With LP'!$G$13</definedName>
    <definedName name="solver_lhs3" localSheetId="8" hidden="1">'Linear Programming'!$G$18</definedName>
    <definedName name="solver_lhs3" localSheetId="26" hidden="1">Sheet2!$I$16</definedName>
    <definedName name="solver_lhs3" localSheetId="17" hidden="1">'TRANSPORTATION PROBLEM 1'!$B$12:$D$12</definedName>
    <definedName name="solver_lhs4" localSheetId="12" hidden="1">'Investment Allocation With LP'!$G$14</definedName>
    <definedName name="solver_lhs4" localSheetId="8" hidden="1">'Linear Programming'!$G$19</definedName>
    <definedName name="solver_lhs4" localSheetId="26" hidden="1">Sheet2!$I$17</definedName>
    <definedName name="solver_lhs4" localSheetId="17" hidden="1">'TRANSPORTATION PROBLEM 1'!$B$13:$D$13</definedName>
    <definedName name="solver_lhs5" localSheetId="8" hidden="1">'Linear Programming'!$G$20</definedName>
    <definedName name="solver_lhs5" localSheetId="26" hidden="1">Sheet2!$I$18</definedName>
    <definedName name="solver_lhs5" localSheetId="17" hidden="1">'TRANSPORTATION PROBLEM 1'!$C$11:$C$13</definedName>
    <definedName name="solver_lhs6" localSheetId="17" hidden="1">'TRANSPORTATION PROBLEM 1'!$D$11:$D$13</definedName>
    <definedName name="solver_mip" localSheetId="19" hidden="1">2147483647</definedName>
    <definedName name="solver_mip" localSheetId="20" hidden="1">2147483647</definedName>
    <definedName name="solver_mip" localSheetId="23" hidden="1">2147483647</definedName>
    <definedName name="solver_mip" localSheetId="12" hidden="1">2147483647</definedName>
    <definedName name="solver_mip" localSheetId="8" hidden="1">2147483647</definedName>
    <definedName name="solver_mip" localSheetId="10" hidden="1">2147483647</definedName>
    <definedName name="solver_mip" localSheetId="14" hidden="1">2147483647</definedName>
    <definedName name="solver_mip" localSheetId="22" hidden="1">2147483647</definedName>
    <definedName name="solver_mip" localSheetId="24" hidden="1">2147483647</definedName>
    <definedName name="solver_mip" localSheetId="28" hidden="1">2147483647</definedName>
    <definedName name="solver_mip" localSheetId="27" hidden="1">2147483647</definedName>
    <definedName name="solver_mip" localSheetId="16" hidden="1">2147483647</definedName>
    <definedName name="solver_mip" localSheetId="29" hidden="1">2147483647</definedName>
    <definedName name="solver_mip" localSheetId="30" hidden="1">2147483647</definedName>
    <definedName name="solver_mip" localSheetId="26" hidden="1">2147483647</definedName>
    <definedName name="solver_mip" localSheetId="9" hidden="1">2147483647</definedName>
    <definedName name="solver_mip" localSheetId="11" hidden="1">2147483647</definedName>
    <definedName name="solver_mip" localSheetId="13" hidden="1">2147483647</definedName>
    <definedName name="solver_mip" localSheetId="15" hidden="1">2147483647</definedName>
    <definedName name="solver_mip" localSheetId="17" hidden="1">2147483647</definedName>
    <definedName name="solver_mip" localSheetId="18" hidden="1">2147483647</definedName>
    <definedName name="solver_mip" localSheetId="25" hidden="1">2147483647</definedName>
    <definedName name="solver_mip" localSheetId="21" hidden="1">2147483647</definedName>
    <definedName name="solver_mni" localSheetId="19" hidden="1">30</definedName>
    <definedName name="solver_mni" localSheetId="20" hidden="1">30</definedName>
    <definedName name="solver_mni" localSheetId="23" hidden="1">30</definedName>
    <definedName name="solver_mni" localSheetId="12" hidden="1">30</definedName>
    <definedName name="solver_mni" localSheetId="8" hidden="1">30</definedName>
    <definedName name="solver_mni" localSheetId="10" hidden="1">30</definedName>
    <definedName name="solver_mni" localSheetId="14" hidden="1">30</definedName>
    <definedName name="solver_mni" localSheetId="22" hidden="1">30</definedName>
    <definedName name="solver_mni" localSheetId="24" hidden="1">30</definedName>
    <definedName name="solver_mni" localSheetId="28" hidden="1">30</definedName>
    <definedName name="solver_mni" localSheetId="27" hidden="1">30</definedName>
    <definedName name="solver_mni" localSheetId="16" hidden="1">30</definedName>
    <definedName name="solver_mni" localSheetId="29" hidden="1">30</definedName>
    <definedName name="solver_mni" localSheetId="30" hidden="1">30</definedName>
    <definedName name="solver_mni" localSheetId="26" hidden="1">30</definedName>
    <definedName name="solver_mni" localSheetId="9" hidden="1">30</definedName>
    <definedName name="solver_mni" localSheetId="11" hidden="1">30</definedName>
    <definedName name="solver_mni" localSheetId="13" hidden="1">30</definedName>
    <definedName name="solver_mni" localSheetId="15" hidden="1">30</definedName>
    <definedName name="solver_mni" localSheetId="17" hidden="1">30</definedName>
    <definedName name="solver_mni" localSheetId="18" hidden="1">30</definedName>
    <definedName name="solver_mni" localSheetId="25" hidden="1">30</definedName>
    <definedName name="solver_mni" localSheetId="21" hidden="1">30</definedName>
    <definedName name="solver_mrt" localSheetId="19" hidden="1">0.075</definedName>
    <definedName name="solver_mrt" localSheetId="20" hidden="1">0.075</definedName>
    <definedName name="solver_mrt" localSheetId="23" hidden="1">0.075</definedName>
    <definedName name="solver_mrt" localSheetId="12" hidden="1">0.075</definedName>
    <definedName name="solver_mrt" localSheetId="8" hidden="1">0.075</definedName>
    <definedName name="solver_mrt" localSheetId="10" hidden="1">0.075</definedName>
    <definedName name="solver_mrt" localSheetId="14" hidden="1">0.075</definedName>
    <definedName name="solver_mrt" localSheetId="22" hidden="1">0.075</definedName>
    <definedName name="solver_mrt" localSheetId="24" hidden="1">0.075</definedName>
    <definedName name="solver_mrt" localSheetId="28" hidden="1">0.075</definedName>
    <definedName name="solver_mrt" localSheetId="27" hidden="1">0.075</definedName>
    <definedName name="solver_mrt" localSheetId="16" hidden="1">0.075</definedName>
    <definedName name="solver_mrt" localSheetId="29" hidden="1">0.075</definedName>
    <definedName name="solver_mrt" localSheetId="30" hidden="1">0.075</definedName>
    <definedName name="solver_mrt" localSheetId="26" hidden="1">0.075</definedName>
    <definedName name="solver_mrt" localSheetId="9" hidden="1">0.075</definedName>
    <definedName name="solver_mrt" localSheetId="11" hidden="1">0.075</definedName>
    <definedName name="solver_mrt" localSheetId="13" hidden="1">0.075</definedName>
    <definedName name="solver_mrt" localSheetId="15" hidden="1">0.075</definedName>
    <definedName name="solver_mrt" localSheetId="17" hidden="1">0.075</definedName>
    <definedName name="solver_mrt" localSheetId="18" hidden="1">0.075</definedName>
    <definedName name="solver_mrt" localSheetId="25" hidden="1">0.075</definedName>
    <definedName name="solver_mrt" localSheetId="21" hidden="1">0.075</definedName>
    <definedName name="solver_msl" localSheetId="19" hidden="1">2</definedName>
    <definedName name="solver_msl" localSheetId="20" hidden="1">2</definedName>
    <definedName name="solver_msl" localSheetId="23" hidden="1">2</definedName>
    <definedName name="solver_msl" localSheetId="12" hidden="1">2</definedName>
    <definedName name="solver_msl" localSheetId="8" hidden="1">2</definedName>
    <definedName name="solver_msl" localSheetId="10" hidden="1">2</definedName>
    <definedName name="solver_msl" localSheetId="14" hidden="1">2</definedName>
    <definedName name="solver_msl" localSheetId="22" hidden="1">2</definedName>
    <definedName name="solver_msl" localSheetId="24" hidden="1">2</definedName>
    <definedName name="solver_msl" localSheetId="28" hidden="1">2</definedName>
    <definedName name="solver_msl" localSheetId="27" hidden="1">2</definedName>
    <definedName name="solver_msl" localSheetId="16" hidden="1">2</definedName>
    <definedName name="solver_msl" localSheetId="29" hidden="1">2</definedName>
    <definedName name="solver_msl" localSheetId="30" hidden="1">2</definedName>
    <definedName name="solver_msl" localSheetId="26" hidden="1">2</definedName>
    <definedName name="solver_msl" localSheetId="9" hidden="1">2</definedName>
    <definedName name="solver_msl" localSheetId="11" hidden="1">2</definedName>
    <definedName name="solver_msl" localSheetId="13" hidden="1">2</definedName>
    <definedName name="solver_msl" localSheetId="15" hidden="1">2</definedName>
    <definedName name="solver_msl" localSheetId="17" hidden="1">2</definedName>
    <definedName name="solver_msl" localSheetId="18" hidden="1">2</definedName>
    <definedName name="solver_msl" localSheetId="25" hidden="1">2</definedName>
    <definedName name="solver_msl" localSheetId="21" hidden="1">2</definedName>
    <definedName name="solver_neg" localSheetId="19" hidden="1">1</definedName>
    <definedName name="solver_neg" localSheetId="20" hidden="1">1</definedName>
    <definedName name="solver_neg" localSheetId="23" hidden="1">1</definedName>
    <definedName name="solver_neg" localSheetId="12" hidden="1">1</definedName>
    <definedName name="solver_neg" localSheetId="8" hidden="1">1</definedName>
    <definedName name="solver_neg" localSheetId="10" hidden="1">1</definedName>
    <definedName name="solver_neg" localSheetId="14" hidden="1">1</definedName>
    <definedName name="solver_neg" localSheetId="22" hidden="1">1</definedName>
    <definedName name="solver_neg" localSheetId="24" hidden="1">1</definedName>
    <definedName name="solver_neg" localSheetId="28" hidden="1">1</definedName>
    <definedName name="solver_neg" localSheetId="27" hidden="1">1</definedName>
    <definedName name="solver_neg" localSheetId="16" hidden="1">1</definedName>
    <definedName name="solver_neg" localSheetId="29" hidden="1">1</definedName>
    <definedName name="solver_neg" localSheetId="30" hidden="1">1</definedName>
    <definedName name="solver_neg" localSheetId="26" hidden="1">1</definedName>
    <definedName name="solver_neg" localSheetId="9" hidden="1">1</definedName>
    <definedName name="solver_neg" localSheetId="11" hidden="1">1</definedName>
    <definedName name="solver_neg" localSheetId="13" hidden="1">1</definedName>
    <definedName name="solver_neg" localSheetId="15" hidden="1">1</definedName>
    <definedName name="solver_neg" localSheetId="17" hidden="1">1</definedName>
    <definedName name="solver_neg" localSheetId="18" hidden="1">1</definedName>
    <definedName name="solver_neg" localSheetId="25" hidden="1">1</definedName>
    <definedName name="solver_neg" localSheetId="21" hidden="1">1</definedName>
    <definedName name="solver_nod" localSheetId="19" hidden="1">2147483647</definedName>
    <definedName name="solver_nod" localSheetId="20" hidden="1">2147483647</definedName>
    <definedName name="solver_nod" localSheetId="23" hidden="1">2147483647</definedName>
    <definedName name="solver_nod" localSheetId="12" hidden="1">2147483647</definedName>
    <definedName name="solver_nod" localSheetId="8" hidden="1">2147483647</definedName>
    <definedName name="solver_nod" localSheetId="10" hidden="1">2147483647</definedName>
    <definedName name="solver_nod" localSheetId="14" hidden="1">2147483647</definedName>
    <definedName name="solver_nod" localSheetId="22" hidden="1">2147483647</definedName>
    <definedName name="solver_nod" localSheetId="24" hidden="1">2147483647</definedName>
    <definedName name="solver_nod" localSheetId="28" hidden="1">2147483647</definedName>
    <definedName name="solver_nod" localSheetId="27" hidden="1">2147483647</definedName>
    <definedName name="solver_nod" localSheetId="16" hidden="1">2147483647</definedName>
    <definedName name="solver_nod" localSheetId="29" hidden="1">2147483647</definedName>
    <definedName name="solver_nod" localSheetId="30" hidden="1">2147483647</definedName>
    <definedName name="solver_nod" localSheetId="26" hidden="1">2147483647</definedName>
    <definedName name="solver_nod" localSheetId="9" hidden="1">2147483647</definedName>
    <definedName name="solver_nod" localSheetId="11" hidden="1">2147483647</definedName>
    <definedName name="solver_nod" localSheetId="13" hidden="1">2147483647</definedName>
    <definedName name="solver_nod" localSheetId="15" hidden="1">2147483647</definedName>
    <definedName name="solver_nod" localSheetId="17" hidden="1">2147483647</definedName>
    <definedName name="solver_nod" localSheetId="18" hidden="1">2147483647</definedName>
    <definedName name="solver_nod" localSheetId="25" hidden="1">2147483647</definedName>
    <definedName name="solver_nod" localSheetId="21" hidden="1">2147483647</definedName>
    <definedName name="solver_num" localSheetId="19" hidden="1">3</definedName>
    <definedName name="solver_num" localSheetId="20" hidden="1">2</definedName>
    <definedName name="solver_num" localSheetId="23" hidden="1">3</definedName>
    <definedName name="solver_num" localSheetId="12" hidden="1">4</definedName>
    <definedName name="solver_num" localSheetId="8" hidden="1">5</definedName>
    <definedName name="solver_num" localSheetId="10" hidden="1">1</definedName>
    <definedName name="solver_num" localSheetId="14" hidden="1">2</definedName>
    <definedName name="solver_num" localSheetId="22" hidden="1">2</definedName>
    <definedName name="solver_num" localSheetId="24" hidden="1">2</definedName>
    <definedName name="solver_num" localSheetId="28" hidden="1">2</definedName>
    <definedName name="solver_num" localSheetId="27" hidden="1">2</definedName>
    <definedName name="solver_num" localSheetId="16" hidden="1">1</definedName>
    <definedName name="solver_num" localSheetId="29" hidden="1">2</definedName>
    <definedName name="solver_num" localSheetId="30" hidden="1">2</definedName>
    <definedName name="solver_num" localSheetId="26" hidden="1">5</definedName>
    <definedName name="solver_num" localSheetId="9" hidden="1">2</definedName>
    <definedName name="solver_num" localSheetId="11" hidden="1">1</definedName>
    <definedName name="solver_num" localSheetId="13" hidden="1">2</definedName>
    <definedName name="solver_num" localSheetId="15" hidden="1">1</definedName>
    <definedName name="solver_num" localSheetId="17" hidden="1">2</definedName>
    <definedName name="solver_num" localSheetId="18" hidden="1">2</definedName>
    <definedName name="solver_num" localSheetId="25" hidden="1">2</definedName>
    <definedName name="solver_num" localSheetId="21" hidden="1">2</definedName>
    <definedName name="solver_nwt" localSheetId="19" hidden="1">1</definedName>
    <definedName name="solver_nwt" localSheetId="20" hidden="1">1</definedName>
    <definedName name="solver_nwt" localSheetId="23" hidden="1">1</definedName>
    <definedName name="solver_nwt" localSheetId="12" hidden="1">1</definedName>
    <definedName name="solver_nwt" localSheetId="8" hidden="1">1</definedName>
    <definedName name="solver_nwt" localSheetId="10" hidden="1">1</definedName>
    <definedName name="solver_nwt" localSheetId="14" hidden="1">1</definedName>
    <definedName name="solver_nwt" localSheetId="22" hidden="1">1</definedName>
    <definedName name="solver_nwt" localSheetId="24" hidden="1">1</definedName>
    <definedName name="solver_nwt" localSheetId="28" hidden="1">1</definedName>
    <definedName name="solver_nwt" localSheetId="27" hidden="1">1</definedName>
    <definedName name="solver_nwt" localSheetId="16" hidden="1">1</definedName>
    <definedName name="solver_nwt" localSheetId="29" hidden="1">1</definedName>
    <definedName name="solver_nwt" localSheetId="30" hidden="1">1</definedName>
    <definedName name="solver_nwt" localSheetId="26" hidden="1">1</definedName>
    <definedName name="solver_nwt" localSheetId="9" hidden="1">1</definedName>
    <definedName name="solver_nwt" localSheetId="11" hidden="1">1</definedName>
    <definedName name="solver_nwt" localSheetId="13" hidden="1">1</definedName>
    <definedName name="solver_nwt" localSheetId="15" hidden="1">1</definedName>
    <definedName name="solver_nwt" localSheetId="17" hidden="1">1</definedName>
    <definedName name="solver_nwt" localSheetId="18" hidden="1">1</definedName>
    <definedName name="solver_nwt" localSheetId="25" hidden="1">1</definedName>
    <definedName name="solver_nwt" localSheetId="21" hidden="1">1</definedName>
    <definedName name="solver_opt" localSheetId="19" hidden="1">'&lt;&lt;&lt;Exampe'!$B$20</definedName>
    <definedName name="solver_opt" localSheetId="20" hidden="1">'College Professors'' Assignment'!$C$20</definedName>
    <definedName name="solver_opt" localSheetId="23" hidden="1">'INTEGER PROGRAMMING'!$B$8</definedName>
    <definedName name="solver_opt" localSheetId="12" hidden="1">'Investment Allocation With LP'!$B$6</definedName>
    <definedName name="solver_opt" localSheetId="8" hidden="1">'Linear Programming'!$E$7</definedName>
    <definedName name="solver_opt" localSheetId="10" hidden="1">'LP and Net Profit'!$D$11</definedName>
    <definedName name="solver_opt" localSheetId="14" hidden="1">'LP and Transportation'!$B$6</definedName>
    <definedName name="solver_opt" localSheetId="22" hidden="1">'Maxie''s Workers Assingment'!$B$21</definedName>
    <definedName name="solver_opt" localSheetId="24" hidden="1">'MIXED INTERGER PROGRAMMING'!$C$6</definedName>
    <definedName name="solver_opt" localSheetId="28" hidden="1">'NL PROGRAMMING example'!$B$10</definedName>
    <definedName name="solver_opt" localSheetId="27" hidden="1">'Non-Linear Programming '!$B$4</definedName>
    <definedName name="solver_opt" localSheetId="16" hidden="1">Sheet10!$B$4</definedName>
    <definedName name="solver_opt" localSheetId="29" hidden="1">Sheet11!$B$10</definedName>
    <definedName name="solver_opt" localSheetId="30" hidden="1">Sheet12!$B$22</definedName>
    <definedName name="solver_opt" localSheetId="26" hidden="1">Sheet2!$B$11</definedName>
    <definedName name="solver_opt" localSheetId="9" hidden="1">Sheet4!$B$6</definedName>
    <definedName name="solver_opt" localSheetId="11" hidden="1">Sheet5!$B$8</definedName>
    <definedName name="solver_opt" localSheetId="13" hidden="1">Sheet7!$B$14</definedName>
    <definedName name="solver_opt" localSheetId="15" hidden="1">Sheet9!$B$11</definedName>
    <definedName name="solver_opt" localSheetId="17" hidden="1">'TRANSPORTATION PROBLEM 1'!$B$18</definedName>
    <definedName name="solver_opt" localSheetId="18" hidden="1">'Transportation-Assignment'!$B$22</definedName>
    <definedName name="solver_opt" localSheetId="25" hidden="1">'Try Work'!$B$7</definedName>
    <definedName name="solver_opt" localSheetId="21" hidden="1">'Umbrella Store Assignment'!$B$18</definedName>
    <definedName name="solver_pre" localSheetId="19" hidden="1">0.000001</definedName>
    <definedName name="solver_pre" localSheetId="20" hidden="1">0.000001</definedName>
    <definedName name="solver_pre" localSheetId="23" hidden="1">0.000001</definedName>
    <definedName name="solver_pre" localSheetId="12" hidden="1">0.000001</definedName>
    <definedName name="solver_pre" localSheetId="8" hidden="1">0.000001</definedName>
    <definedName name="solver_pre" localSheetId="10" hidden="1">0.000001</definedName>
    <definedName name="solver_pre" localSheetId="14" hidden="1">0.000001</definedName>
    <definedName name="solver_pre" localSheetId="22" hidden="1">0.000001</definedName>
    <definedName name="solver_pre" localSheetId="24" hidden="1">0.000001</definedName>
    <definedName name="solver_pre" localSheetId="28" hidden="1">0.000001</definedName>
    <definedName name="solver_pre" localSheetId="27" hidden="1">0.000001</definedName>
    <definedName name="solver_pre" localSheetId="16" hidden="1">0.000001</definedName>
    <definedName name="solver_pre" localSheetId="29" hidden="1">0.000001</definedName>
    <definedName name="solver_pre" localSheetId="30" hidden="1">0.000001</definedName>
    <definedName name="solver_pre" localSheetId="26" hidden="1">0.000001</definedName>
    <definedName name="solver_pre" localSheetId="9" hidden="1">0.000001</definedName>
    <definedName name="solver_pre" localSheetId="11" hidden="1">0.000001</definedName>
    <definedName name="solver_pre" localSheetId="13" hidden="1">0.000001</definedName>
    <definedName name="solver_pre" localSheetId="15" hidden="1">0.000001</definedName>
    <definedName name="solver_pre" localSheetId="17" hidden="1">0.000001</definedName>
    <definedName name="solver_pre" localSheetId="18" hidden="1">0.000001</definedName>
    <definedName name="solver_pre" localSheetId="25" hidden="1">0.000001</definedName>
    <definedName name="solver_pre" localSheetId="21" hidden="1">0.000001</definedName>
    <definedName name="solver_rbv" localSheetId="19" hidden="1">1</definedName>
    <definedName name="solver_rbv" localSheetId="20" hidden="1">1</definedName>
    <definedName name="solver_rbv" localSheetId="23" hidden="1">1</definedName>
    <definedName name="solver_rbv" localSheetId="12" hidden="1">1</definedName>
    <definedName name="solver_rbv" localSheetId="8" hidden="1">2</definedName>
    <definedName name="solver_rbv" localSheetId="10" hidden="1">2</definedName>
    <definedName name="solver_rbv" localSheetId="14" hidden="1">1</definedName>
    <definedName name="solver_rbv" localSheetId="22" hidden="1">1</definedName>
    <definedName name="solver_rbv" localSheetId="24" hidden="1">2</definedName>
    <definedName name="solver_rbv" localSheetId="28" hidden="1">1</definedName>
    <definedName name="solver_rbv" localSheetId="27" hidden="1">1</definedName>
    <definedName name="solver_rbv" localSheetId="16" hidden="1">1</definedName>
    <definedName name="solver_rbv" localSheetId="29" hidden="1">1</definedName>
    <definedName name="solver_rbv" localSheetId="30" hidden="1">1</definedName>
    <definedName name="solver_rbv" localSheetId="26" hidden="1">1</definedName>
    <definedName name="solver_rbv" localSheetId="9" hidden="1">1</definedName>
    <definedName name="solver_rbv" localSheetId="11" hidden="1">1</definedName>
    <definedName name="solver_rbv" localSheetId="13" hidden="1">1</definedName>
    <definedName name="solver_rbv" localSheetId="15" hidden="1">1</definedName>
    <definedName name="solver_rbv" localSheetId="17" hidden="1">1</definedName>
    <definedName name="solver_rbv" localSheetId="18" hidden="1">1</definedName>
    <definedName name="solver_rbv" localSheetId="25" hidden="1">1</definedName>
    <definedName name="solver_rbv" localSheetId="21" hidden="1">1</definedName>
    <definedName name="solver_rel1" localSheetId="19" hidden="1">2</definedName>
    <definedName name="solver_rel1" localSheetId="20" hidden="1">2</definedName>
    <definedName name="solver_rel1" localSheetId="23" hidden="1">4</definedName>
    <definedName name="solver_rel1" localSheetId="12" hidden="1">1</definedName>
    <definedName name="solver_rel1" localSheetId="8" hidden="1">4</definedName>
    <definedName name="solver_rel1" localSheetId="10" hidden="1">1</definedName>
    <definedName name="solver_rel1" localSheetId="14" hidden="1">2</definedName>
    <definedName name="solver_rel1" localSheetId="22" hidden="1">1</definedName>
    <definedName name="solver_rel1" localSheetId="24" hidden="1">4</definedName>
    <definedName name="solver_rel1" localSheetId="28" hidden="1">4</definedName>
    <definedName name="solver_rel1" localSheetId="27" hidden="1">2</definedName>
    <definedName name="solver_rel1" localSheetId="16" hidden="1">1</definedName>
    <definedName name="solver_rel1" localSheetId="29" hidden="1">4</definedName>
    <definedName name="solver_rel1" localSheetId="30" hidden="1">1</definedName>
    <definedName name="solver_rel1" localSheetId="26" hidden="1">5</definedName>
    <definedName name="solver_rel1" localSheetId="9" hidden="1">1</definedName>
    <definedName name="solver_rel1" localSheetId="11" hidden="1">1</definedName>
    <definedName name="solver_rel1" localSheetId="13" hidden="1">3</definedName>
    <definedName name="solver_rel1" localSheetId="15" hidden="1">1</definedName>
    <definedName name="solver_rel1" localSheetId="17" hidden="1">3</definedName>
    <definedName name="solver_rel1" localSheetId="18" hidden="1">1</definedName>
    <definedName name="solver_rel1" localSheetId="25" hidden="1">4</definedName>
    <definedName name="solver_rel1" localSheetId="21" hidden="1">2</definedName>
    <definedName name="solver_rel2" localSheetId="19" hidden="1">2</definedName>
    <definedName name="solver_rel2" localSheetId="20" hidden="1">2</definedName>
    <definedName name="solver_rel2" localSheetId="23" hidden="1">1</definedName>
    <definedName name="solver_rel2" localSheetId="12" hidden="1">3</definedName>
    <definedName name="solver_rel2" localSheetId="8" hidden="1">1</definedName>
    <definedName name="solver_rel2" localSheetId="14" hidden="1">1</definedName>
    <definedName name="solver_rel2" localSheetId="22" hidden="1">1</definedName>
    <definedName name="solver_rel2" localSheetId="24" hidden="1">1</definedName>
    <definedName name="solver_rel2" localSheetId="28" hidden="1">1</definedName>
    <definedName name="solver_rel2" localSheetId="27" hidden="1">3</definedName>
    <definedName name="solver_rel2" localSheetId="29" hidden="1">3</definedName>
    <definedName name="solver_rel2" localSheetId="30" hidden="1">1</definedName>
    <definedName name="solver_rel2" localSheetId="26" hidden="1">3</definedName>
    <definedName name="solver_rel2" localSheetId="9" hidden="1">1</definedName>
    <definedName name="solver_rel2" localSheetId="13" hidden="1">1</definedName>
    <definedName name="solver_rel2" localSheetId="17" hidden="1">1</definedName>
    <definedName name="solver_rel2" localSheetId="18" hidden="1">2</definedName>
    <definedName name="solver_rel2" localSheetId="25" hidden="1">1</definedName>
    <definedName name="solver_rel2" localSheetId="21" hidden="1">1</definedName>
    <definedName name="solver_rel3" localSheetId="19" hidden="1">2</definedName>
    <definedName name="solver_rel3" localSheetId="23" hidden="1">3</definedName>
    <definedName name="solver_rel3" localSheetId="12" hidden="1">3</definedName>
    <definedName name="solver_rel3" localSheetId="8" hidden="1">3</definedName>
    <definedName name="solver_rel3" localSheetId="26" hidden="1">1</definedName>
    <definedName name="solver_rel3" localSheetId="17" hidden="1">1</definedName>
    <definedName name="solver_rel4" localSheetId="12" hidden="1">1</definedName>
    <definedName name="solver_rel4" localSheetId="8" hidden="1">3</definedName>
    <definedName name="solver_rel4" localSheetId="26" hidden="1">2</definedName>
    <definedName name="solver_rel4" localSheetId="17" hidden="1">1</definedName>
    <definedName name="solver_rel5" localSheetId="8" hidden="1">3</definedName>
    <definedName name="solver_rel5" localSheetId="26" hidden="1">1</definedName>
    <definedName name="solver_rel5" localSheetId="17" hidden="1">3</definedName>
    <definedName name="solver_rel6" localSheetId="17" hidden="1">3</definedName>
    <definedName name="solver_rhs1" localSheetId="19" hidden="1">'&lt;&lt;&lt;Exampe'!$C$17:$F$17</definedName>
    <definedName name="solver_rhs1" localSheetId="20" hidden="1">'College Professors'' Assignment'!$C$16:$F$16</definedName>
    <definedName name="solver_rhs1" localSheetId="23" hidden="1">"integer"</definedName>
    <definedName name="solver_rhs1" localSheetId="12" hidden="1">'Investment Allocation With LP'!$I$11</definedName>
    <definedName name="solver_rhs1" localSheetId="8" hidden="1">"integer"</definedName>
    <definedName name="solver_rhs1" localSheetId="10" hidden="1">'LP and Net Profit'!$F$14:$F$17</definedName>
    <definedName name="solver_rhs1" localSheetId="14" hidden="1">'LP and Transportation'!$T$11:$T$15</definedName>
    <definedName name="solver_rhs1" localSheetId="22" hidden="1">'Maxie''s Workers Assingment'!$C$18:$E$18</definedName>
    <definedName name="solver_rhs1" localSheetId="24" hidden="1">"integer"</definedName>
    <definedName name="solver_rhs1" localSheetId="28" hidden="1">"integer"</definedName>
    <definedName name="solver_rhs1" localSheetId="27" hidden="1">'Non-Linear Programming '!$F$16</definedName>
    <definedName name="solver_rhs1" localSheetId="16" hidden="1">Sheet10!$F$8:$F$9</definedName>
    <definedName name="solver_rhs1" localSheetId="29" hidden="1">"integer"</definedName>
    <definedName name="solver_rhs1" localSheetId="30" hidden="1">Sheet12!$F$23</definedName>
    <definedName name="solver_rhs1" localSheetId="26" hidden="1">"binary"</definedName>
    <definedName name="solver_rhs1" localSheetId="9" hidden="1">Sheet4!$F$10</definedName>
    <definedName name="solver_rhs1" localSheetId="11" hidden="1">Sheet5!$F$11:$F$12</definedName>
    <definedName name="solver_rhs1" localSheetId="13" hidden="1">Sheet7!$I$17:$I$21</definedName>
    <definedName name="solver_rhs1" localSheetId="15" hidden="1">Sheet9!$L$13:$L$17</definedName>
    <definedName name="solver_rhs1" localSheetId="17" hidden="1">'TRANSPORTATION PROBLEM 1'!$B$14:$D$14</definedName>
    <definedName name="solver_rhs1" localSheetId="18" hidden="1">'Transportation-Assignment'!$B$18:$E$18</definedName>
    <definedName name="solver_rhs1" localSheetId="25" hidden="1">"integer"</definedName>
    <definedName name="solver_rhs1" localSheetId="21" hidden="1">'Umbrella Store Assignment'!$C$15:$E$15</definedName>
    <definedName name="solver_rhs2" localSheetId="19" hidden="1">0</definedName>
    <definedName name="solver_rhs2" localSheetId="20" hidden="1">'College Professors'' Assignment'!$I$10:$I$13</definedName>
    <definedName name="solver_rhs2" localSheetId="23" hidden="1">'INTEGER PROGRAMMING'!$F$12:$F$13</definedName>
    <definedName name="solver_rhs2" localSheetId="12" hidden="1">'Investment Allocation With LP'!$I$12</definedName>
    <definedName name="solver_rhs2" localSheetId="8" hidden="1">'Linear Programming'!$I$17</definedName>
    <definedName name="solver_rhs2" localSheetId="14" hidden="1">'LP and Transportation'!$T$8:$T$10</definedName>
    <definedName name="solver_rhs2" localSheetId="22" hidden="1">'Maxie''s Workers Assingment'!$H$13:$H$15</definedName>
    <definedName name="solver_rhs2" localSheetId="24" hidden="1">'MIXED INTERGER PROGRAMMING'!$G$11:$G$13</definedName>
    <definedName name="solver_rhs2" localSheetId="28" hidden="1">'NL PROGRAMMING example'!$F$13</definedName>
    <definedName name="solver_rhs2" localSheetId="27" hidden="1">'Non-Linear Programming '!$F$17</definedName>
    <definedName name="solver_rhs2" localSheetId="29" hidden="1">Sheet11!$E$13</definedName>
    <definedName name="solver_rhs2" localSheetId="30" hidden="1">Sheet12!$F$24</definedName>
    <definedName name="solver_rhs2" localSheetId="26" hidden="1">Sheet2!$K$15</definedName>
    <definedName name="solver_rhs2" localSheetId="9" hidden="1">Sheet4!$F$11</definedName>
    <definedName name="solver_rhs2" localSheetId="13" hidden="1">Sheet7!$I$22</definedName>
    <definedName name="solver_rhs2" localSheetId="17" hidden="1">'TRANSPORTATION PROBLEM 1'!$E$11:$E$13</definedName>
    <definedName name="solver_rhs2" localSheetId="18" hidden="1">'Transportation-Assignment'!$H$13:$H$15</definedName>
    <definedName name="solver_rhs2" localSheetId="25" hidden="1">'Try Work'!$F$10:$F$12</definedName>
    <definedName name="solver_rhs2" localSheetId="21" hidden="1">'Umbrella Store Assignment'!$H$11:$H$12</definedName>
    <definedName name="solver_rhs3" localSheetId="19" hidden="1">'&lt;&lt;&lt;Exampe'!$I$11:$I$14</definedName>
    <definedName name="solver_rhs3" localSheetId="23" hidden="1">'INTEGER PROGRAMMING'!$F$14</definedName>
    <definedName name="solver_rhs3" localSheetId="12" hidden="1">'Investment Allocation With LP'!$I$13</definedName>
    <definedName name="solver_rhs3" localSheetId="8" hidden="1">'Linear Programming'!$I$18</definedName>
    <definedName name="solver_rhs3" localSheetId="26" hidden="1">Sheet2!$K$16</definedName>
    <definedName name="solver_rhs3" localSheetId="17" hidden="1">'TRANSPORTATION PROBLEM 1'!$E$12</definedName>
    <definedName name="solver_rhs4" localSheetId="12" hidden="1">'Investment Allocation With LP'!$I$14</definedName>
    <definedName name="solver_rhs4" localSheetId="8" hidden="1">'Linear Programming'!$I$19</definedName>
    <definedName name="solver_rhs4" localSheetId="26" hidden="1">Sheet2!$K$17</definedName>
    <definedName name="solver_rhs4" localSheetId="17" hidden="1">'TRANSPORTATION PROBLEM 1'!$E$13</definedName>
    <definedName name="solver_rhs5" localSheetId="8" hidden="1">'Linear Programming'!$I$20</definedName>
    <definedName name="solver_rhs5" localSheetId="26" hidden="1">Sheet2!$K$18</definedName>
    <definedName name="solver_rhs5" localSheetId="17" hidden="1">'TRANSPORTATION PROBLEM 1'!$C$14</definedName>
    <definedName name="solver_rhs6" localSheetId="17" hidden="1">'TRANSPORTATION PROBLEM 1'!$D$14</definedName>
    <definedName name="solver_rlx" localSheetId="19" hidden="1">2</definedName>
    <definedName name="solver_rlx" localSheetId="20" hidden="1">2</definedName>
    <definedName name="solver_rlx" localSheetId="23" hidden="1">2</definedName>
    <definedName name="solver_rlx" localSheetId="12" hidden="1">2</definedName>
    <definedName name="solver_rlx" localSheetId="8" hidden="1">2</definedName>
    <definedName name="solver_rlx" localSheetId="10" hidden="1">2</definedName>
    <definedName name="solver_rlx" localSheetId="14" hidden="1">2</definedName>
    <definedName name="solver_rlx" localSheetId="22" hidden="1">2</definedName>
    <definedName name="solver_rlx" localSheetId="24" hidden="1">2</definedName>
    <definedName name="solver_rlx" localSheetId="28" hidden="1">2</definedName>
    <definedName name="solver_rlx" localSheetId="27" hidden="1">2</definedName>
    <definedName name="solver_rlx" localSheetId="16" hidden="1">2</definedName>
    <definedName name="solver_rlx" localSheetId="29" hidden="1">2</definedName>
    <definedName name="solver_rlx" localSheetId="30" hidden="1">2</definedName>
    <definedName name="solver_rlx" localSheetId="26" hidden="1">2</definedName>
    <definedName name="solver_rlx" localSheetId="9" hidden="1">2</definedName>
    <definedName name="solver_rlx" localSheetId="11" hidden="1">2</definedName>
    <definedName name="solver_rlx" localSheetId="13" hidden="1">2</definedName>
    <definedName name="solver_rlx" localSheetId="15" hidden="1">2</definedName>
    <definedName name="solver_rlx" localSheetId="17" hidden="1">2</definedName>
    <definedName name="solver_rlx" localSheetId="18" hidden="1">2</definedName>
    <definedName name="solver_rlx" localSheetId="25" hidden="1">2</definedName>
    <definedName name="solver_rlx" localSheetId="21" hidden="1">2</definedName>
    <definedName name="solver_rsd" localSheetId="19" hidden="1">0</definedName>
    <definedName name="solver_rsd" localSheetId="20" hidden="1">0</definedName>
    <definedName name="solver_rsd" localSheetId="23" hidden="1">0</definedName>
    <definedName name="solver_rsd" localSheetId="12" hidden="1">0</definedName>
    <definedName name="solver_rsd" localSheetId="8" hidden="1">0</definedName>
    <definedName name="solver_rsd" localSheetId="10" hidden="1">0</definedName>
    <definedName name="solver_rsd" localSheetId="14" hidden="1">0</definedName>
    <definedName name="solver_rsd" localSheetId="22" hidden="1">0</definedName>
    <definedName name="solver_rsd" localSheetId="24" hidden="1">0</definedName>
    <definedName name="solver_rsd" localSheetId="28" hidden="1">0</definedName>
    <definedName name="solver_rsd" localSheetId="27" hidden="1">0</definedName>
    <definedName name="solver_rsd" localSheetId="16" hidden="1">0</definedName>
    <definedName name="solver_rsd" localSheetId="29" hidden="1">0</definedName>
    <definedName name="solver_rsd" localSheetId="30" hidden="1">0</definedName>
    <definedName name="solver_rsd" localSheetId="26" hidden="1">0</definedName>
    <definedName name="solver_rsd" localSheetId="9" hidden="1">0</definedName>
    <definedName name="solver_rsd" localSheetId="11" hidden="1">0</definedName>
    <definedName name="solver_rsd" localSheetId="13" hidden="1">0</definedName>
    <definedName name="solver_rsd" localSheetId="15" hidden="1">0</definedName>
    <definedName name="solver_rsd" localSheetId="17" hidden="1">0</definedName>
    <definedName name="solver_rsd" localSheetId="18" hidden="1">0</definedName>
    <definedName name="solver_rsd" localSheetId="25" hidden="1">0</definedName>
    <definedName name="solver_rsd" localSheetId="21" hidden="1">0</definedName>
    <definedName name="solver_scl" localSheetId="19" hidden="1">1</definedName>
    <definedName name="solver_scl" localSheetId="20" hidden="1">1</definedName>
    <definedName name="solver_scl" localSheetId="23" hidden="1">1</definedName>
    <definedName name="solver_scl" localSheetId="12" hidden="1">1</definedName>
    <definedName name="solver_scl" localSheetId="8" hidden="1">2</definedName>
    <definedName name="solver_scl" localSheetId="10" hidden="1">2</definedName>
    <definedName name="solver_scl" localSheetId="14" hidden="1">1</definedName>
    <definedName name="solver_scl" localSheetId="22" hidden="1">1</definedName>
    <definedName name="solver_scl" localSheetId="24" hidden="1">2</definedName>
    <definedName name="solver_scl" localSheetId="28" hidden="1">1</definedName>
    <definedName name="solver_scl" localSheetId="27" hidden="1">1</definedName>
    <definedName name="solver_scl" localSheetId="16" hidden="1">1</definedName>
    <definedName name="solver_scl" localSheetId="29" hidden="1">1</definedName>
    <definedName name="solver_scl" localSheetId="30" hidden="1">1</definedName>
    <definedName name="solver_scl" localSheetId="26" hidden="1">1</definedName>
    <definedName name="solver_scl" localSheetId="9" hidden="1">1</definedName>
    <definedName name="solver_scl" localSheetId="11" hidden="1">1</definedName>
    <definedName name="solver_scl" localSheetId="13" hidden="1">1</definedName>
    <definedName name="solver_scl" localSheetId="15" hidden="1">1</definedName>
    <definedName name="solver_scl" localSheetId="17" hidden="1">1</definedName>
    <definedName name="solver_scl" localSheetId="18" hidden="1">1</definedName>
    <definedName name="solver_scl" localSheetId="25" hidden="1">1</definedName>
    <definedName name="solver_scl" localSheetId="21" hidden="1">1</definedName>
    <definedName name="solver_sho" localSheetId="19" hidden="1">2</definedName>
    <definedName name="solver_sho" localSheetId="20" hidden="1">2</definedName>
    <definedName name="solver_sho" localSheetId="23" hidden="1">2</definedName>
    <definedName name="solver_sho" localSheetId="12" hidden="1">2</definedName>
    <definedName name="solver_sho" localSheetId="8" hidden="1">2</definedName>
    <definedName name="solver_sho" localSheetId="10" hidden="1">2</definedName>
    <definedName name="solver_sho" localSheetId="14" hidden="1">2</definedName>
    <definedName name="solver_sho" localSheetId="22" hidden="1">2</definedName>
    <definedName name="solver_sho" localSheetId="24" hidden="1">2</definedName>
    <definedName name="solver_sho" localSheetId="28" hidden="1">2</definedName>
    <definedName name="solver_sho" localSheetId="27" hidden="1">2</definedName>
    <definedName name="solver_sho" localSheetId="16" hidden="1">2</definedName>
    <definedName name="solver_sho" localSheetId="29" hidden="1">2</definedName>
    <definedName name="solver_sho" localSheetId="30" hidden="1">2</definedName>
    <definedName name="solver_sho" localSheetId="26" hidden="1">2</definedName>
    <definedName name="solver_sho" localSheetId="9" hidden="1">2</definedName>
    <definedName name="solver_sho" localSheetId="11" hidden="1">2</definedName>
    <definedName name="solver_sho" localSheetId="13" hidden="1">2</definedName>
    <definedName name="solver_sho" localSheetId="15" hidden="1">2</definedName>
    <definedName name="solver_sho" localSheetId="17" hidden="1">2</definedName>
    <definedName name="solver_sho" localSheetId="18" hidden="1">2</definedName>
    <definedName name="solver_sho" localSheetId="25" hidden="1">2</definedName>
    <definedName name="solver_sho" localSheetId="21" hidden="1">2</definedName>
    <definedName name="solver_ssz" localSheetId="19" hidden="1">100</definedName>
    <definedName name="solver_ssz" localSheetId="20" hidden="1">100</definedName>
    <definedName name="solver_ssz" localSheetId="23" hidden="1">100</definedName>
    <definedName name="solver_ssz" localSheetId="12" hidden="1">100</definedName>
    <definedName name="solver_ssz" localSheetId="8" hidden="1">100</definedName>
    <definedName name="solver_ssz" localSheetId="10" hidden="1">100</definedName>
    <definedName name="solver_ssz" localSheetId="14" hidden="1">100</definedName>
    <definedName name="solver_ssz" localSheetId="22" hidden="1">100</definedName>
    <definedName name="solver_ssz" localSheetId="24" hidden="1">100</definedName>
    <definedName name="solver_ssz" localSheetId="28" hidden="1">100</definedName>
    <definedName name="solver_ssz" localSheetId="27" hidden="1">100</definedName>
    <definedName name="solver_ssz" localSheetId="16" hidden="1">100</definedName>
    <definedName name="solver_ssz" localSheetId="29" hidden="1">100</definedName>
    <definedName name="solver_ssz" localSheetId="30" hidden="1">100</definedName>
    <definedName name="solver_ssz" localSheetId="26" hidden="1">100</definedName>
    <definedName name="solver_ssz" localSheetId="9" hidden="1">100</definedName>
    <definedName name="solver_ssz" localSheetId="11" hidden="1">100</definedName>
    <definedName name="solver_ssz" localSheetId="13" hidden="1">100</definedName>
    <definedName name="solver_ssz" localSheetId="15" hidden="1">100</definedName>
    <definedName name="solver_ssz" localSheetId="17" hidden="1">100</definedName>
    <definedName name="solver_ssz" localSheetId="18" hidden="1">100</definedName>
    <definedName name="solver_ssz" localSheetId="25" hidden="1">100</definedName>
    <definedName name="solver_ssz" localSheetId="21" hidden="1">100</definedName>
    <definedName name="solver_tim" localSheetId="19" hidden="1">2147483647</definedName>
    <definedName name="solver_tim" localSheetId="20" hidden="1">2147483647</definedName>
    <definedName name="solver_tim" localSheetId="23" hidden="1">2147483647</definedName>
    <definedName name="solver_tim" localSheetId="12" hidden="1">2147483647</definedName>
    <definedName name="solver_tim" localSheetId="8" hidden="1">2147483647</definedName>
    <definedName name="solver_tim" localSheetId="10" hidden="1">2147483647</definedName>
    <definedName name="solver_tim" localSheetId="14" hidden="1">2147483647</definedName>
    <definedName name="solver_tim" localSheetId="22" hidden="1">2147483647</definedName>
    <definedName name="solver_tim" localSheetId="24" hidden="1">2147483647</definedName>
    <definedName name="solver_tim" localSheetId="28" hidden="1">2147483647</definedName>
    <definedName name="solver_tim" localSheetId="27" hidden="1">2147483647</definedName>
    <definedName name="solver_tim" localSheetId="16" hidden="1">2147483647</definedName>
    <definedName name="solver_tim" localSheetId="29" hidden="1">2147483647</definedName>
    <definedName name="solver_tim" localSheetId="30" hidden="1">2147483647</definedName>
    <definedName name="solver_tim" localSheetId="26" hidden="1">2147483647</definedName>
    <definedName name="solver_tim" localSheetId="9" hidden="1">2147483647</definedName>
    <definedName name="solver_tim" localSheetId="11" hidden="1">2147483647</definedName>
    <definedName name="solver_tim" localSheetId="13" hidden="1">2147483647</definedName>
    <definedName name="solver_tim" localSheetId="15" hidden="1">2147483647</definedName>
    <definedName name="solver_tim" localSheetId="17" hidden="1">2147483647</definedName>
    <definedName name="solver_tim" localSheetId="18" hidden="1">2147483647</definedName>
    <definedName name="solver_tim" localSheetId="25" hidden="1">2147483647</definedName>
    <definedName name="solver_tim" localSheetId="21" hidden="1">2147483647</definedName>
    <definedName name="solver_tol" localSheetId="19" hidden="1">0.01</definedName>
    <definedName name="solver_tol" localSheetId="20" hidden="1">0.01</definedName>
    <definedName name="solver_tol" localSheetId="23" hidden="1">0.01</definedName>
    <definedName name="solver_tol" localSheetId="12" hidden="1">0.01</definedName>
    <definedName name="solver_tol" localSheetId="8" hidden="1">0.01</definedName>
    <definedName name="solver_tol" localSheetId="10" hidden="1">0.01</definedName>
    <definedName name="solver_tol" localSheetId="14" hidden="1">0.01</definedName>
    <definedName name="solver_tol" localSheetId="22" hidden="1">0.01</definedName>
    <definedName name="solver_tol" localSheetId="24" hidden="1">0.01</definedName>
    <definedName name="solver_tol" localSheetId="28" hidden="1">0.01</definedName>
    <definedName name="solver_tol" localSheetId="27" hidden="1">0.01</definedName>
    <definedName name="solver_tol" localSheetId="16" hidden="1">0.01</definedName>
    <definedName name="solver_tol" localSheetId="29" hidden="1">0.01</definedName>
    <definedName name="solver_tol" localSheetId="30" hidden="1">0.01</definedName>
    <definedName name="solver_tol" localSheetId="26" hidden="1">0.01</definedName>
    <definedName name="solver_tol" localSheetId="9" hidden="1">0.01</definedName>
    <definedName name="solver_tol" localSheetId="11" hidden="1">0.01</definedName>
    <definedName name="solver_tol" localSheetId="13" hidden="1">0.01</definedName>
    <definedName name="solver_tol" localSheetId="15" hidden="1">0.01</definedName>
    <definedName name="solver_tol" localSheetId="17" hidden="1">0.01</definedName>
    <definedName name="solver_tol" localSheetId="18" hidden="1">0.01</definedName>
    <definedName name="solver_tol" localSheetId="25" hidden="1">0.01</definedName>
    <definedName name="solver_tol" localSheetId="21" hidden="1">0.01</definedName>
    <definedName name="solver_typ" localSheetId="19" hidden="1">2</definedName>
    <definedName name="solver_typ" localSheetId="20" hidden="1">1</definedName>
    <definedName name="solver_typ" localSheetId="23" hidden="1">1</definedName>
    <definedName name="solver_typ" localSheetId="12" hidden="1">1</definedName>
    <definedName name="solver_typ" localSheetId="8" hidden="1">1</definedName>
    <definedName name="solver_typ" localSheetId="10" hidden="1">1</definedName>
    <definedName name="solver_typ" localSheetId="14" hidden="1">2</definedName>
    <definedName name="solver_typ" localSheetId="22" hidden="1">1</definedName>
    <definedName name="solver_typ" localSheetId="24" hidden="1">1</definedName>
    <definedName name="solver_typ" localSheetId="28" hidden="1">1</definedName>
    <definedName name="solver_typ" localSheetId="27" hidden="1">2</definedName>
    <definedName name="solver_typ" localSheetId="16" hidden="1">1</definedName>
    <definedName name="solver_typ" localSheetId="29" hidden="1">1</definedName>
    <definedName name="solver_typ" localSheetId="30" hidden="1">1</definedName>
    <definedName name="solver_typ" localSheetId="26" hidden="1">1</definedName>
    <definedName name="solver_typ" localSheetId="9" hidden="1">1</definedName>
    <definedName name="solver_typ" localSheetId="11" hidden="1">1</definedName>
    <definedName name="solver_typ" localSheetId="13" hidden="1">2</definedName>
    <definedName name="solver_typ" localSheetId="15" hidden="1">2</definedName>
    <definedName name="solver_typ" localSheetId="17" hidden="1">2</definedName>
    <definedName name="solver_typ" localSheetId="18" hidden="1">2</definedName>
    <definedName name="solver_typ" localSheetId="25" hidden="1">1</definedName>
    <definedName name="solver_typ" localSheetId="21" hidden="1">2</definedName>
    <definedName name="solver_val" localSheetId="19" hidden="1">0</definedName>
    <definedName name="solver_val" localSheetId="20" hidden="1">0</definedName>
    <definedName name="solver_val" localSheetId="23" hidden="1">0</definedName>
    <definedName name="solver_val" localSheetId="12" hidden="1">0</definedName>
    <definedName name="solver_val" localSheetId="8" hidden="1">0</definedName>
    <definedName name="solver_val" localSheetId="10" hidden="1">0</definedName>
    <definedName name="solver_val" localSheetId="14" hidden="1">0</definedName>
    <definedName name="solver_val" localSheetId="22" hidden="1">0</definedName>
    <definedName name="solver_val" localSheetId="24" hidden="1">0</definedName>
    <definedName name="solver_val" localSheetId="28" hidden="1">0</definedName>
    <definedName name="solver_val" localSheetId="27" hidden="1">0</definedName>
    <definedName name="solver_val" localSheetId="16" hidden="1">0</definedName>
    <definedName name="solver_val" localSheetId="29" hidden="1">0</definedName>
    <definedName name="solver_val" localSheetId="30" hidden="1">0</definedName>
    <definedName name="solver_val" localSheetId="26" hidden="1">0</definedName>
    <definedName name="solver_val" localSheetId="9" hidden="1">0</definedName>
    <definedName name="solver_val" localSheetId="11" hidden="1">0</definedName>
    <definedName name="solver_val" localSheetId="13" hidden="1">0</definedName>
    <definedName name="solver_val" localSheetId="15" hidden="1">0</definedName>
    <definedName name="solver_val" localSheetId="17" hidden="1">0</definedName>
    <definedName name="solver_val" localSheetId="18" hidden="1">0</definedName>
    <definedName name="solver_val" localSheetId="25" hidden="1">0</definedName>
    <definedName name="solver_val" localSheetId="21" hidden="1">0</definedName>
    <definedName name="solver_ver" localSheetId="19" hidden="1">3</definedName>
    <definedName name="solver_ver" localSheetId="20" hidden="1">3</definedName>
    <definedName name="solver_ver" localSheetId="23" hidden="1">3</definedName>
    <definedName name="solver_ver" localSheetId="12" hidden="1">3</definedName>
    <definedName name="solver_ver" localSheetId="8" hidden="1">3</definedName>
    <definedName name="solver_ver" localSheetId="10" hidden="1">3</definedName>
    <definedName name="solver_ver" localSheetId="14" hidden="1">3</definedName>
    <definedName name="solver_ver" localSheetId="22" hidden="1">3</definedName>
    <definedName name="solver_ver" localSheetId="24" hidden="1">3</definedName>
    <definedName name="solver_ver" localSheetId="28" hidden="1">3</definedName>
    <definedName name="solver_ver" localSheetId="27" hidden="1">3</definedName>
    <definedName name="solver_ver" localSheetId="16" hidden="1">3</definedName>
    <definedName name="solver_ver" localSheetId="29" hidden="1">3</definedName>
    <definedName name="solver_ver" localSheetId="30" hidden="1">3</definedName>
    <definedName name="solver_ver" localSheetId="26" hidden="1">3</definedName>
    <definedName name="solver_ver" localSheetId="9" hidden="1">3</definedName>
    <definedName name="solver_ver" localSheetId="11" hidden="1">3</definedName>
    <definedName name="solver_ver" localSheetId="13" hidden="1">3</definedName>
    <definedName name="solver_ver" localSheetId="15" hidden="1">3</definedName>
    <definedName name="solver_ver" localSheetId="17" hidden="1">3</definedName>
    <definedName name="solver_ver" localSheetId="18" hidden="1">3</definedName>
    <definedName name="solver_ver" localSheetId="25" hidden="1">3</definedName>
    <definedName name="solver_ver" localSheetId="21"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4" i="36" l="1"/>
  <c r="D23" i="36"/>
  <c r="C19" i="36"/>
  <c r="C17" i="36"/>
  <c r="C15" i="36"/>
  <c r="B22" i="36" s="1"/>
  <c r="B9" i="36"/>
  <c r="D6" i="36"/>
  <c r="D5" i="36"/>
  <c r="B5" i="35"/>
  <c r="B10" i="35" s="1"/>
  <c r="E3" i="34"/>
  <c r="D3" i="34"/>
  <c r="D13" i="34"/>
  <c r="E7" i="34"/>
  <c r="D7" i="34"/>
  <c r="C7" i="34"/>
  <c r="B7" i="34"/>
  <c r="D17" i="33"/>
  <c r="D16" i="33"/>
  <c r="D10" i="33"/>
  <c r="C10" i="33"/>
  <c r="B10" i="33"/>
  <c r="I18" i="32"/>
  <c r="I17" i="32"/>
  <c r="I16" i="32"/>
  <c r="I15" i="32"/>
  <c r="B11" i="32"/>
  <c r="B7" i="31"/>
  <c r="D11" i="31"/>
  <c r="D12" i="31"/>
  <c r="D10" i="31"/>
  <c r="C6" i="30"/>
  <c r="D14" i="30"/>
  <c r="C14" i="30"/>
  <c r="E12" i="30"/>
  <c r="E13" i="30"/>
  <c r="E11" i="30"/>
  <c r="B8" i="29"/>
  <c r="D14" i="29"/>
  <c r="D13" i="29"/>
  <c r="D12" i="29"/>
  <c r="B21" i="28"/>
  <c r="D16" i="28"/>
  <c r="E16" i="28"/>
  <c r="C16" i="28"/>
  <c r="F14" i="28"/>
  <c r="F15" i="28"/>
  <c r="F13" i="28"/>
  <c r="D13" i="27"/>
  <c r="E13" i="27"/>
  <c r="C13" i="27"/>
  <c r="F12" i="27"/>
  <c r="F11" i="27"/>
  <c r="D14" i="26"/>
  <c r="E14" i="26"/>
  <c r="F14" i="26"/>
  <c r="C14" i="26"/>
  <c r="C20" i="26"/>
  <c r="G11" i="26"/>
  <c r="G12" i="26"/>
  <c r="G13" i="26"/>
  <c r="G10" i="26"/>
  <c r="B20" i="25"/>
  <c r="D15" i="25"/>
  <c r="E15" i="25"/>
  <c r="F15" i="25"/>
  <c r="C15" i="25"/>
  <c r="G12" i="25"/>
  <c r="G13" i="25"/>
  <c r="G14" i="25"/>
  <c r="G11" i="25"/>
  <c r="B22" i="24"/>
  <c r="C16" i="24"/>
  <c r="D16" i="24"/>
  <c r="E16" i="24"/>
  <c r="B16" i="24"/>
  <c r="F14" i="24"/>
  <c r="F15" i="24"/>
  <c r="F13" i="24"/>
  <c r="B7" i="20"/>
  <c r="C7" i="20"/>
  <c r="D7" i="20"/>
  <c r="E6" i="20"/>
  <c r="E5" i="20"/>
  <c r="E4" i="20"/>
  <c r="B18" i="20"/>
  <c r="B4" i="19"/>
  <c r="D9" i="19"/>
  <c r="D8" i="19"/>
  <c r="B11" i="18"/>
  <c r="B14" i="18" s="1"/>
  <c r="J14" i="18"/>
  <c r="J15" i="18"/>
  <c r="J16" i="18"/>
  <c r="J17" i="18"/>
  <c r="J13" i="18"/>
  <c r="R11" i="17"/>
  <c r="R12" i="17"/>
  <c r="R13" i="17"/>
  <c r="R14" i="17"/>
  <c r="R15" i="17"/>
  <c r="R9" i="17"/>
  <c r="R10" i="17"/>
  <c r="R8" i="17"/>
  <c r="B6" i="17"/>
  <c r="G22" i="16"/>
  <c r="G18" i="16"/>
  <c r="G19" i="16"/>
  <c r="G20" i="16"/>
  <c r="G21" i="16"/>
  <c r="G17" i="16"/>
  <c r="B14" i="16"/>
  <c r="G14" i="15"/>
  <c r="I13" i="15"/>
  <c r="G13" i="15"/>
  <c r="I12" i="15"/>
  <c r="G12" i="15"/>
  <c r="G11" i="15"/>
  <c r="B6" i="15"/>
  <c r="B8" i="14"/>
  <c r="D12" i="14"/>
  <c r="D11" i="14"/>
  <c r="D17" i="13"/>
  <c r="D16" i="13"/>
  <c r="D7" i="13"/>
  <c r="D9" i="13"/>
  <c r="D8" i="13"/>
  <c r="D10" i="13"/>
  <c r="D15" i="13"/>
  <c r="D14" i="13"/>
  <c r="B6" i="12"/>
  <c r="D11" i="12"/>
  <c r="D10" i="12"/>
  <c r="G20" i="11"/>
  <c r="G17" i="11"/>
  <c r="G18" i="11"/>
  <c r="G19" i="11"/>
  <c r="E7" i="11"/>
  <c r="G17" i="10"/>
  <c r="G15" i="10"/>
  <c r="G14" i="10"/>
  <c r="B16" i="10"/>
  <c r="B15" i="10"/>
  <c r="B14" i="10"/>
  <c r="E5" i="10"/>
  <c r="E6" i="10" s="1"/>
  <c r="E7" i="10" s="1"/>
  <c r="E8" i="10" s="1"/>
  <c r="E9" i="10" s="1"/>
  <c r="E10" i="10" s="1"/>
  <c r="E11" i="10" s="1"/>
  <c r="E12" i="10" s="1"/>
  <c r="E13" i="10" s="1"/>
  <c r="E14" i="10" s="1"/>
  <c r="E15" i="10" s="1"/>
  <c r="E16" i="10" s="1"/>
  <c r="E17" i="10" s="1"/>
  <c r="E18" i="10" s="1"/>
  <c r="E19" i="10" s="1"/>
  <c r="E20" i="10" s="1"/>
  <c r="E21" i="10" s="1"/>
  <c r="E22" i="10" s="1"/>
  <c r="E23" i="10" s="1"/>
  <c r="E4" i="10"/>
  <c r="D4" i="8"/>
  <c r="D5" i="8"/>
  <c r="D6" i="8"/>
  <c r="F6" i="8" s="1"/>
  <c r="D7" i="8"/>
  <c r="F7" i="8" s="1"/>
  <c r="D8" i="8"/>
  <c r="D9" i="8"/>
  <c r="D3" i="8"/>
  <c r="H15" i="8"/>
  <c r="E9" i="8"/>
  <c r="E4" i="8"/>
  <c r="E5" i="8"/>
  <c r="E6" i="8"/>
  <c r="G6" i="8" s="1"/>
  <c r="E7" i="8"/>
  <c r="E8" i="8"/>
  <c r="E3" i="8"/>
  <c r="G3" i="8" s="1"/>
  <c r="F4" i="8"/>
  <c r="F5" i="8"/>
  <c r="F3" i="8"/>
  <c r="G4" i="8"/>
  <c r="G5" i="8"/>
  <c r="G7" i="8"/>
  <c r="G40" i="6"/>
  <c r="B38" i="6"/>
  <c r="B39" i="6" s="1"/>
  <c r="B41" i="6" s="1"/>
  <c r="G34" i="6"/>
  <c r="H34" i="6"/>
  <c r="F34" i="6"/>
  <c r="H23" i="6"/>
  <c r="H24" i="6"/>
  <c r="H25" i="6"/>
  <c r="H26" i="6"/>
  <c r="H27" i="6"/>
  <c r="H28" i="6"/>
  <c r="H29" i="6"/>
  <c r="H30" i="6"/>
  <c r="H31" i="6"/>
  <c r="H32" i="6"/>
  <c r="H33" i="6"/>
  <c r="H22" i="6"/>
  <c r="G23" i="6"/>
  <c r="G24" i="6"/>
  <c r="G25" i="6"/>
  <c r="G26" i="6"/>
  <c r="G27" i="6"/>
  <c r="G28" i="6"/>
  <c r="G29" i="6"/>
  <c r="G30" i="6"/>
  <c r="G31" i="6"/>
  <c r="G32" i="6"/>
  <c r="G33" i="6"/>
  <c r="G22" i="6"/>
  <c r="F23" i="6"/>
  <c r="F24" i="6"/>
  <c r="F25" i="6"/>
  <c r="F26" i="6"/>
  <c r="F27" i="6"/>
  <c r="F28" i="6"/>
  <c r="F29" i="6"/>
  <c r="F30" i="6"/>
  <c r="F31" i="6"/>
  <c r="F32" i="6"/>
  <c r="F33" i="6"/>
  <c r="F22" i="6"/>
  <c r="B23" i="6"/>
  <c r="B24" i="6"/>
  <c r="B25" i="6"/>
  <c r="B26" i="6"/>
  <c r="B27" i="6"/>
  <c r="B28" i="6"/>
  <c r="B29" i="6"/>
  <c r="B30" i="6"/>
  <c r="B31" i="6"/>
  <c r="B32" i="6"/>
  <c r="B33" i="6"/>
  <c r="B22" i="6"/>
  <c r="D23" i="6"/>
  <c r="D24" i="6"/>
  <c r="D25" i="6"/>
  <c r="D26" i="6"/>
  <c r="D27" i="6"/>
  <c r="D28" i="6"/>
  <c r="D29" i="6"/>
  <c r="D30" i="6"/>
  <c r="D31" i="6"/>
  <c r="D32" i="6"/>
  <c r="D33" i="6"/>
  <c r="D22" i="6"/>
  <c r="C23" i="6"/>
  <c r="C24" i="6"/>
  <c r="C25" i="6"/>
  <c r="C26" i="6"/>
  <c r="C27" i="6"/>
  <c r="C28" i="6"/>
  <c r="C29" i="6"/>
  <c r="C30" i="6"/>
  <c r="C31" i="6"/>
  <c r="C32" i="6"/>
  <c r="C33" i="6"/>
  <c r="C22" i="6"/>
  <c r="B8" i="5"/>
  <c r="B4" i="5"/>
  <c r="B17" i="5" s="1"/>
  <c r="B16" i="3"/>
  <c r="C11" i="4"/>
  <c r="C13" i="4" s="1"/>
  <c r="B13" i="3"/>
  <c r="B18" i="3" s="1"/>
  <c r="B9" i="1"/>
  <c r="B16" i="1"/>
  <c r="B19" i="1" s="1"/>
  <c r="B7" i="1"/>
  <c r="C13" i="35" l="1"/>
  <c r="B10" i="34"/>
  <c r="B4" i="33"/>
  <c r="B18" i="27"/>
  <c r="D11" i="13"/>
  <c r="G8" i="8"/>
  <c r="F8" i="8"/>
  <c r="B43" i="6"/>
  <c r="B45" i="6" s="1"/>
  <c r="H57" i="6" s="1"/>
  <c r="B12" i="5"/>
  <c r="B13" i="5" s="1"/>
  <c r="B19" i="5" s="1"/>
  <c r="E7" i="5" s="1"/>
  <c r="C14" i="4"/>
  <c r="B18" i="4" s="1"/>
  <c r="B20" i="3"/>
  <c r="F12" i="3" s="1"/>
  <c r="B10" i="1"/>
  <c r="B11" i="1" s="1"/>
  <c r="B20" i="1" s="1"/>
  <c r="F4" i="1" s="1"/>
  <c r="F37" i="6" l="1"/>
  <c r="B17" i="4"/>
  <c r="B19" i="4" l="1"/>
  <c r="G4" i="4" s="1"/>
</calcChain>
</file>

<file path=xl/sharedStrings.xml><?xml version="1.0" encoding="utf-8"?>
<sst xmlns="http://schemas.openxmlformats.org/spreadsheetml/2006/main" count="720" uniqueCount="424">
  <si>
    <t>Quality Sweater Company</t>
  </si>
  <si>
    <t xml:space="preserve">Printing Variable Cost </t>
  </si>
  <si>
    <t xml:space="preserve">Printing Fixed Cost </t>
  </si>
  <si>
    <t>per catalog</t>
  </si>
  <si>
    <t>per order</t>
  </si>
  <si>
    <t>Extra cost for an envelope used by a respondent</t>
  </si>
  <si>
    <t>Average Customer  order</t>
  </si>
  <si>
    <t>Income</t>
  </si>
  <si>
    <t>Variable Cost of mailing</t>
  </si>
  <si>
    <t xml:space="preserve"> Variable Cost: Labor &amp; Material</t>
  </si>
  <si>
    <t>Hand Knitted Sweater Catalog Costs</t>
  </si>
  <si>
    <t>Expected Catalog  ordered</t>
  </si>
  <si>
    <t>Respones Rate</t>
  </si>
  <si>
    <t>Total Orders</t>
  </si>
  <si>
    <t>Total Revenue</t>
  </si>
  <si>
    <t>Total Variable Cost of catalog</t>
  </si>
  <si>
    <t>Total Variable Cost of order</t>
  </si>
  <si>
    <t>Total Cost</t>
  </si>
  <si>
    <t>Profit</t>
  </si>
  <si>
    <t>Response rate</t>
  </si>
  <si>
    <t>profit</t>
  </si>
  <si>
    <t>Data Table</t>
  </si>
  <si>
    <t xml:space="preserve">BN BOOKSTORE </t>
  </si>
  <si>
    <t>Order</t>
  </si>
  <si>
    <t>Unit cost</t>
  </si>
  <si>
    <t>Least Ordered</t>
  </si>
  <si>
    <t>Demand</t>
  </si>
  <si>
    <t>(555-4500)</t>
  </si>
  <si>
    <t xml:space="preserve">Regula price </t>
  </si>
  <si>
    <t>Sale Price</t>
  </si>
  <si>
    <t>Surplus</t>
  </si>
  <si>
    <t>COST</t>
  </si>
  <si>
    <t>REVENUE</t>
  </si>
  <si>
    <t>PROFIT</t>
  </si>
  <si>
    <t>DEMAND</t>
  </si>
  <si>
    <t>ORDER</t>
  </si>
  <si>
    <t>Daily Operational Cost</t>
  </si>
  <si>
    <t>Annual Rental Cost</t>
  </si>
  <si>
    <t>Other  fixed Cost</t>
  </si>
  <si>
    <t>Price of printing</t>
  </si>
  <si>
    <t>Maximum Copies</t>
  </si>
  <si>
    <t>per copier</t>
  </si>
  <si>
    <t>per month</t>
  </si>
  <si>
    <t>per copy</t>
  </si>
  <si>
    <t>per cop</t>
  </si>
  <si>
    <t>500-2000</t>
  </si>
  <si>
    <t>COPY SHOP</t>
  </si>
  <si>
    <t>actual copies if demand  = 500</t>
  </si>
  <si>
    <t>M</t>
  </si>
  <si>
    <t>copies per year</t>
  </si>
  <si>
    <t>TOTAL COST</t>
  </si>
  <si>
    <t>Copiers</t>
  </si>
  <si>
    <t>Concerts per week</t>
  </si>
  <si>
    <t>weeks on tour</t>
  </si>
  <si>
    <t>Total concerts</t>
  </si>
  <si>
    <t>max. capacity</t>
  </si>
  <si>
    <t xml:space="preserve">attendace </t>
  </si>
  <si>
    <t>tickets sold</t>
  </si>
  <si>
    <t>fixed cost</t>
  </si>
  <si>
    <t>rental cost per show</t>
  </si>
  <si>
    <t>total rental cost</t>
  </si>
  <si>
    <t>total cost</t>
  </si>
  <si>
    <t>ticket per attendee</t>
  </si>
  <si>
    <t>concession per ticket sale</t>
  </si>
  <si>
    <t>total revenue</t>
  </si>
  <si>
    <t>Concerts Per Week</t>
  </si>
  <si>
    <t>Weeks on Tour</t>
  </si>
  <si>
    <t>The 9th Hole</t>
  </si>
  <si>
    <t xml:space="preserve">Month </t>
  </si>
  <si>
    <t xml:space="preserve">Price </t>
  </si>
  <si>
    <t>Demand(00s)</t>
  </si>
  <si>
    <t>Intercept(b)</t>
  </si>
  <si>
    <t>Slope (m)</t>
  </si>
  <si>
    <t>Constant a</t>
  </si>
  <si>
    <t>Exponent b</t>
  </si>
  <si>
    <t>Prediction based on Models</t>
  </si>
  <si>
    <t xml:space="preserve">Linear </t>
  </si>
  <si>
    <t>Power</t>
  </si>
  <si>
    <t>Exponential</t>
  </si>
  <si>
    <t>Linear function: y=mx+b</t>
  </si>
  <si>
    <t>power function: y=ax^b</t>
  </si>
  <si>
    <t>Exponetial function: y=ae^(bx)</t>
  </si>
  <si>
    <t>Absolute % Error</t>
  </si>
  <si>
    <t>Linear</t>
  </si>
  <si>
    <t>average absolute % error</t>
  </si>
  <si>
    <t>Model of Business</t>
  </si>
  <si>
    <t>Unit Cost</t>
  </si>
  <si>
    <t>per set of clubs</t>
  </si>
  <si>
    <t>Unit Price</t>
  </si>
  <si>
    <t>&lt;&lt; power model</t>
  </si>
  <si>
    <t>&lt;&lt; multiple of 10</t>
  </si>
  <si>
    <t xml:space="preserve">Actual Demand </t>
  </si>
  <si>
    <t>&lt;&lt; multiplied by 100</t>
  </si>
  <si>
    <t>Total cost</t>
  </si>
  <si>
    <t>Q1. Sell set of clubs at $520 to maximize profit</t>
  </si>
  <si>
    <t>PRICE</t>
  </si>
  <si>
    <t>UNIT COST</t>
  </si>
  <si>
    <r>
      <t xml:space="preserve">Q2.  The optimal price is inversely related to unit cost as shown in the </t>
    </r>
    <r>
      <rPr>
        <b/>
        <sz val="11"/>
        <color theme="1"/>
        <rFont val="Calibri"/>
        <family val="2"/>
        <scheme val="minor"/>
      </rPr>
      <t>Two-Way Data Table</t>
    </r>
  </si>
  <si>
    <t xml:space="preserve">In this lesson, we will use trendlines in Excel to model the relationship between the demand for a product and its price. Read the problem below carefully. If you’d like, take notes and start setting up a spreadsheet model of your own. Then, watch the next video in the course to see a solution. </t>
  </si>
  <si>
    <t>Scenario</t>
  </si>
  <si>
    <t>The 19th Hole sells golf clubs at its golf outlet stores throughout the US.  The company knows that the demand for its club varies considerably with price.  In the last year, the demand at each price level was recorded in the table below.</t>
  </si>
  <si>
    <t>Month</t>
  </si>
  <si>
    <t>Price</t>
  </si>
  <si>
    <t>Demand (00s)</t>
  </si>
  <si>
    <t>The company wants to estimate the relationship between demand and price and then use this estimated relationship to answer the following questions: </t>
  </si>
  <si>
    <t>1. Assuming the unit cost of producing a set of clubs is $250, and the price must be a multiple of $10, what price should the company charge to maximize its profit?</t>
  </si>
  <si>
    <t>2. How does the optimal price depend on the unit cost of producing a set of clubs?</t>
  </si>
  <si>
    <t>3. Is the model an accurate representation of reality?</t>
  </si>
  <si>
    <t>The 19th Hole</t>
  </si>
  <si>
    <t>Year</t>
  </si>
  <si>
    <t>Revenue (millions of USD)</t>
  </si>
  <si>
    <t>Year Number</t>
  </si>
  <si>
    <t>Exponential Function: y=ae^bx</t>
  </si>
  <si>
    <t>a</t>
  </si>
  <si>
    <t>b</t>
  </si>
  <si>
    <t>Power function: y=ax^b</t>
  </si>
  <si>
    <t>Forecasts</t>
  </si>
  <si>
    <t>Absolute Errors</t>
  </si>
  <si>
    <t>b2</t>
  </si>
  <si>
    <t>Gopher Drugs</t>
  </si>
  <si>
    <t>Discount rate</t>
  </si>
  <si>
    <t xml:space="preserve">Cost of developing Iguaza </t>
  </si>
  <si>
    <t xml:space="preserve">Life span of Iguaza </t>
  </si>
  <si>
    <t>years</t>
  </si>
  <si>
    <t>per year</t>
  </si>
  <si>
    <t xml:space="preserve">Increase for </t>
  </si>
  <si>
    <t>Year 1 gross margin</t>
  </si>
  <si>
    <t>miliions</t>
  </si>
  <si>
    <t xml:space="preserve">decrease for  </t>
  </si>
  <si>
    <t>increase rate</t>
  </si>
  <si>
    <t>decrease rate</t>
  </si>
  <si>
    <t>millions</t>
  </si>
  <si>
    <t>Cashflows</t>
  </si>
  <si>
    <t>End ofYear</t>
  </si>
  <si>
    <t>Gross Margins (millions</t>
  </si>
  <si>
    <t>(NET) PRESENT VALUE</t>
  </si>
  <si>
    <t>Dev't Cost</t>
  </si>
  <si>
    <t>Total NPV</t>
  </si>
  <si>
    <t>YEAR</t>
  </si>
  <si>
    <t>CASHFLOWS</t>
  </si>
  <si>
    <t>DISCOUNT RATE</t>
  </si>
  <si>
    <t>INITIAL INVESTMENT</t>
  </si>
  <si>
    <t>Campaign Marketing</t>
  </si>
  <si>
    <t>Money for Advertising</t>
  </si>
  <si>
    <t>people</t>
  </si>
  <si>
    <t>cost</t>
  </si>
  <si>
    <t>one radio ad: j</t>
  </si>
  <si>
    <t>one television ad: k</t>
  </si>
  <si>
    <t>Variables</t>
  </si>
  <si>
    <t>Number of radio ads</t>
  </si>
  <si>
    <t>Number of TV ads</t>
  </si>
  <si>
    <t>&lt;&lt;&lt;dummy numbers</t>
  </si>
  <si>
    <t>Objective (Max)</t>
  </si>
  <si>
    <t>Constraints:</t>
  </si>
  <si>
    <t>Budget</t>
  </si>
  <si>
    <t>LHS</t>
  </si>
  <si>
    <t>SIGN</t>
  </si>
  <si>
    <t>RHS</t>
  </si>
  <si>
    <t>&lt;=</t>
  </si>
  <si>
    <t>&lt;&lt;&lt;Objective Co-efficients</t>
  </si>
  <si>
    <t>No. of people reached</t>
  </si>
  <si>
    <t>At least 10 radio</t>
  </si>
  <si>
    <t>At least 10 TV</t>
  </si>
  <si>
    <t>&gt;=</t>
  </si>
  <si>
    <t>Radio &gt;= TV</t>
  </si>
  <si>
    <t xml:space="preserve"> </t>
  </si>
  <si>
    <t>SUMMARY SENTENCE</t>
  </si>
  <si>
    <t>X</t>
  </si>
  <si>
    <t>Y</t>
  </si>
  <si>
    <t>constraints</t>
  </si>
  <si>
    <t>Obj</t>
  </si>
  <si>
    <t>PC Tech Company</t>
  </si>
  <si>
    <t>Constraints</t>
  </si>
  <si>
    <t>No. of XPs</t>
  </si>
  <si>
    <t>No. of Basics</t>
  </si>
  <si>
    <t>at most 600 basics</t>
  </si>
  <si>
    <t>at most 1200 XPs</t>
  </si>
  <si>
    <t>Sign</t>
  </si>
  <si>
    <t>Objective(Max):</t>
  </si>
  <si>
    <t>Total</t>
  </si>
  <si>
    <t>Total Cost:</t>
  </si>
  <si>
    <t>Parts</t>
  </si>
  <si>
    <t>Assembly Hours</t>
  </si>
  <si>
    <t>Testing Hours</t>
  </si>
  <si>
    <t>Labor/Assmbly</t>
  </si>
  <si>
    <t>Labor/Testing</t>
  </si>
  <si>
    <t>Tectona Furniture Corporation</t>
  </si>
  <si>
    <t>Benches</t>
  </si>
  <si>
    <t>Chairs</t>
  </si>
  <si>
    <t>&lt;&lt;dummy numbers</t>
  </si>
  <si>
    <t>Carpenters(hours)</t>
  </si>
  <si>
    <t>Teak(wood material)</t>
  </si>
  <si>
    <t>Objetive Function</t>
  </si>
  <si>
    <t>Investment</t>
  </si>
  <si>
    <t>Rate of Return (%)</t>
  </si>
  <si>
    <t>L.A. Municipal Bond</t>
  </si>
  <si>
    <t>Thompson Electronics, Inc.</t>
  </si>
  <si>
    <t>United Aerospace Corp.</t>
  </si>
  <si>
    <t>Palmer Technologies</t>
  </si>
  <si>
    <t>HDN Stock (high risk)</t>
  </si>
  <si>
    <t>Investment Portfolio:</t>
  </si>
  <si>
    <t>Municipal Bonds</t>
  </si>
  <si>
    <t>Tech Bonds</t>
  </si>
  <si>
    <t>Amount to be invested</t>
  </si>
  <si>
    <t>at least</t>
  </si>
  <si>
    <t>Objective(max)</t>
  </si>
  <si>
    <t>Rate of return</t>
  </si>
  <si>
    <t>X1</t>
  </si>
  <si>
    <t>X2</t>
  </si>
  <si>
    <t>X3</t>
  </si>
  <si>
    <t>X4</t>
  </si>
  <si>
    <t>X5</t>
  </si>
  <si>
    <t>&lt;&lt;Dummy Numbers</t>
  </si>
  <si>
    <t>Municipal Bonds (20%)</t>
  </si>
  <si>
    <t>Tech Bonds (40%)</t>
  </si>
  <si>
    <t>High risk bonds (50%)</t>
  </si>
  <si>
    <t>Diet Requirement (Ingredients)</t>
  </si>
  <si>
    <t>Oat Product (units/lb)</t>
  </si>
  <si>
    <t>Enriched Grain (units/lb)</t>
  </si>
  <si>
    <t>Mineral Product (units/lb)</t>
  </si>
  <si>
    <t>Minimum Daily Requirement (units)</t>
  </si>
  <si>
    <t>A</t>
  </si>
  <si>
    <t>B</t>
  </si>
  <si>
    <t>C</t>
  </si>
  <si>
    <t>D</t>
  </si>
  <si>
    <t>E</t>
  </si>
  <si>
    <t>Cost/lb</t>
  </si>
  <si>
    <t>Objective (Min)</t>
  </si>
  <si>
    <t>Cost</t>
  </si>
  <si>
    <t>Busing Problem</t>
  </si>
  <si>
    <t>AB</t>
  </si>
  <si>
    <t>AC</t>
  </si>
  <si>
    <t>AE</t>
  </si>
  <si>
    <t>BB</t>
  </si>
  <si>
    <t>BC</t>
  </si>
  <si>
    <t>BE</t>
  </si>
  <si>
    <t>CB</t>
  </si>
  <si>
    <t>CC</t>
  </si>
  <si>
    <t>CE</t>
  </si>
  <si>
    <t>DB</t>
  </si>
  <si>
    <t>DC</t>
  </si>
  <si>
    <t>DE</t>
  </si>
  <si>
    <t>EB</t>
  </si>
  <si>
    <t>EC</t>
  </si>
  <si>
    <t>EE</t>
  </si>
  <si>
    <t>&lt;&lt;miles Traveled</t>
  </si>
  <si>
    <t>Student bus miles</t>
  </si>
  <si>
    <t>Objective(min):</t>
  </si>
  <si>
    <t>900 in B</t>
  </si>
  <si>
    <t>900 in C</t>
  </si>
  <si>
    <t>900 in E</t>
  </si>
  <si>
    <t>700 in A</t>
  </si>
  <si>
    <t>500 in B</t>
  </si>
  <si>
    <t>100 in C</t>
  </si>
  <si>
    <t>800 in D</t>
  </si>
  <si>
    <t>400 in E</t>
  </si>
  <si>
    <t>=</t>
  </si>
  <si>
    <t>BUS COMPANY</t>
  </si>
  <si>
    <t>Number of Years</t>
  </si>
  <si>
    <t>Cost of Hiring</t>
  </si>
  <si>
    <t>Cost of Firing</t>
  </si>
  <si>
    <t>Cost of salary</t>
  </si>
  <si>
    <t>Drivers Needed</t>
  </si>
  <si>
    <t>60 Drivers</t>
  </si>
  <si>
    <t>70 Drivers</t>
  </si>
  <si>
    <t>50 Drivers</t>
  </si>
  <si>
    <t>65 Drivers</t>
  </si>
  <si>
    <t xml:space="preserve">Total </t>
  </si>
  <si>
    <t>NIKE</t>
  </si>
  <si>
    <t>Variable</t>
  </si>
  <si>
    <t>Soccer Ball</t>
  </si>
  <si>
    <t>Basket Ball</t>
  </si>
  <si>
    <t>Objective(MAX):</t>
  </si>
  <si>
    <t>Machine Time</t>
  </si>
  <si>
    <t>Workers Time</t>
  </si>
  <si>
    <t>Project A</t>
  </si>
  <si>
    <t>Project B</t>
  </si>
  <si>
    <t>Project C</t>
  </si>
  <si>
    <t>Capacity</t>
  </si>
  <si>
    <t>Plant 1</t>
  </si>
  <si>
    <t>Plant 2</t>
  </si>
  <si>
    <t>Plant 3</t>
  </si>
  <si>
    <t>Requirements</t>
  </si>
  <si>
    <t>The Osbourne Concrete Company</t>
  </si>
  <si>
    <t>Objective (MIN)</t>
  </si>
  <si>
    <t>Omaha</t>
  </si>
  <si>
    <t>Miami</t>
  </si>
  <si>
    <t>Dallas</t>
  </si>
  <si>
    <t>New York</t>
  </si>
  <si>
    <t>Jones</t>
  </si>
  <si>
    <t>Smith</t>
  </si>
  <si>
    <t>Wilson</t>
  </si>
  <si>
    <t>Objective (Min):</t>
  </si>
  <si>
    <t>Relocation Cost</t>
  </si>
  <si>
    <t>Kansas City</t>
  </si>
  <si>
    <t>Chicago</t>
  </si>
  <si>
    <t>Detroit</t>
  </si>
  <si>
    <t>Toronto</t>
  </si>
  <si>
    <t>Seattle</t>
  </si>
  <si>
    <t>Arlington</t>
  </si>
  <si>
    <t>Oakland</t>
  </si>
  <si>
    <t>Baltimore</t>
  </si>
  <si>
    <t>Major League Baseball Umpires</t>
  </si>
  <si>
    <t>Totals</t>
  </si>
  <si>
    <t xml:space="preserve">Distance </t>
  </si>
  <si>
    <t>Statistics</t>
  </si>
  <si>
    <t>Management</t>
  </si>
  <si>
    <t>Finance</t>
  </si>
  <si>
    <t>Economics</t>
  </si>
  <si>
    <t>Bain</t>
  </si>
  <si>
    <t>Carey</t>
  </si>
  <si>
    <t>Dio</t>
  </si>
  <si>
    <t>Powell</t>
  </si>
  <si>
    <t>Objective (Max):</t>
  </si>
  <si>
    <t xml:space="preserve">Teaching </t>
  </si>
  <si>
    <t>Umbrella Corporation LLC</t>
  </si>
  <si>
    <t>Factory 1</t>
  </si>
  <si>
    <t>Factory 2</t>
  </si>
  <si>
    <t>Store A</t>
  </si>
  <si>
    <t>Store B</t>
  </si>
  <si>
    <t>Store C</t>
  </si>
  <si>
    <t>TOTAL</t>
  </si>
  <si>
    <t>AT MOST</t>
  </si>
  <si>
    <t>DEMAD</t>
  </si>
  <si>
    <t>SUPPLY</t>
  </si>
  <si>
    <t>Cost per Jersey</t>
  </si>
  <si>
    <t>Objective (min)</t>
  </si>
  <si>
    <t>To:</t>
  </si>
  <si>
    <t>From:</t>
  </si>
  <si>
    <t>Objective(MAX)</t>
  </si>
  <si>
    <t>Product Output</t>
  </si>
  <si>
    <t>MAXIE</t>
  </si>
  <si>
    <t>1. 60 Workers from Plant 1 should be assigned to Factory B</t>
  </si>
  <si>
    <t>3. An output of 1610 units of Basketball Jerseys will be produced after the assignments</t>
  </si>
  <si>
    <t>2.  Out of 105 workers from Plant 2, 45 and 30 and 30 should be assigned to Factory A and B and C respectively</t>
  </si>
  <si>
    <t>COMMENTS:</t>
  </si>
  <si>
    <r>
      <t xml:space="preserve">2. From Factory 2, 50 units and 70 units should be sent to Store A and C to </t>
    </r>
    <r>
      <rPr>
        <b/>
        <sz val="11"/>
        <color theme="1"/>
        <rFont val="Calibri"/>
        <family val="2"/>
        <scheme val="minor"/>
      </rPr>
      <t>Minimize Cost</t>
    </r>
  </si>
  <si>
    <r>
      <t xml:space="preserve">1. From Factory 1, 30 units should be sent to Store And 60 units to store B to </t>
    </r>
    <r>
      <rPr>
        <b/>
        <sz val="11"/>
        <color theme="1"/>
        <rFont val="Calibri"/>
        <family val="2"/>
        <scheme val="minor"/>
      </rPr>
      <t>Minimize Cost</t>
    </r>
  </si>
  <si>
    <t>3. Given Comment 1 and 2 are fufilled, Total Cost will be minimized to $5270</t>
  </si>
  <si>
    <t>Princess Brides</t>
  </si>
  <si>
    <t>Radio Ads</t>
  </si>
  <si>
    <t>People reached</t>
  </si>
  <si>
    <t>ads cost per week</t>
  </si>
  <si>
    <t>No. of ads per week</t>
  </si>
  <si>
    <t xml:space="preserve">Prime time </t>
  </si>
  <si>
    <t>Off peak</t>
  </si>
  <si>
    <t>Ads</t>
  </si>
  <si>
    <t>People Reched</t>
  </si>
  <si>
    <t>4 Peak ads and 1 off-peak ads could reach 37900 people</t>
  </si>
  <si>
    <t>Bean</t>
  </si>
  <si>
    <t>Units per 20 lb bag</t>
  </si>
  <si>
    <t>Units per lb</t>
  </si>
  <si>
    <t>Amount available (lbs)</t>
  </si>
  <si>
    <t>Bolsa de Café</t>
  </si>
  <si>
    <t>TOTAL PROFIT</t>
  </si>
  <si>
    <t xml:space="preserve">44 Units per 20 lb bag and 20 units per lb will maximize profit of $3,770 </t>
  </si>
  <si>
    <t>3 by 4</t>
  </si>
  <si>
    <t>2 by 3</t>
  </si>
  <si>
    <t>Posters</t>
  </si>
  <si>
    <t>Objective(Max)</t>
  </si>
  <si>
    <t>Total Profit</t>
  </si>
  <si>
    <t>Sales hours per week</t>
  </si>
  <si>
    <t>No. of posters per week:</t>
  </si>
  <si>
    <t>sign</t>
  </si>
  <si>
    <t>Name</t>
  </si>
  <si>
    <t>Expected Annual Return ($1000)</t>
  </si>
  <si>
    <t>Cost for Block of Shares ($1000)</t>
  </si>
  <si>
    <t>Trans-Texas Oil</t>
  </si>
  <si>
    <t>British Petroleum (BP)</t>
  </si>
  <si>
    <t>Dutch Shell</t>
  </si>
  <si>
    <t>Houston Drilling</t>
  </si>
  <si>
    <t>Texas Petroleum</t>
  </si>
  <si>
    <t>San Diego Oil</t>
  </si>
  <si>
    <t>California Petro.</t>
  </si>
  <si>
    <t>Stock Name</t>
  </si>
  <si>
    <t>Returns</t>
  </si>
  <si>
    <t>(1,0)</t>
  </si>
  <si>
    <t>Expected returns</t>
  </si>
  <si>
    <t>Cost of block of shares</t>
  </si>
  <si>
    <t>At least 2 Texas oil</t>
  </si>
  <si>
    <t>no more  than 1 foreign</t>
  </si>
  <si>
    <t>one of two Carlifornia</t>
  </si>
  <si>
    <t>Summary:</t>
  </si>
  <si>
    <t>Purchase the following stocks to maximize an annual return of $360000;</t>
  </si>
  <si>
    <t>Dutch Shell, Houston Drilling, Texas Petroleum, Sandiego Oil, California Petro</t>
  </si>
  <si>
    <t>Portfolio Variance</t>
  </si>
  <si>
    <t xml:space="preserve">PB&amp;J </t>
  </si>
  <si>
    <t>Variables:</t>
  </si>
  <si>
    <t>Non-Linear Variables</t>
  </si>
  <si>
    <t>X^2</t>
  </si>
  <si>
    <t>XY</t>
  </si>
  <si>
    <t>Y^2</t>
  </si>
  <si>
    <t>Formulas</t>
  </si>
  <si>
    <t>Coefficients</t>
  </si>
  <si>
    <t>Variance</t>
  </si>
  <si>
    <t>Objective(Min):</t>
  </si>
  <si>
    <t>All Funds invested</t>
  </si>
  <si>
    <t>Expected Return of 9%</t>
  </si>
  <si>
    <t>To minize Variance optimally, 93% of funds should be put in stock 1 and 7% in Stock 2.</t>
  </si>
  <si>
    <t>MOTORCROSS SNOWMOBILES</t>
  </si>
  <si>
    <t>Non-linear Variables</t>
  </si>
  <si>
    <t>CONSTANTS</t>
  </si>
  <si>
    <t>Hours Available</t>
  </si>
  <si>
    <t>Revenue</t>
  </si>
  <si>
    <t>(4-0.1X)</t>
  </si>
  <si>
    <t>(5-0.02Y)</t>
  </si>
  <si>
    <t>X= XJ6</t>
  </si>
  <si>
    <t>Y= XJ8</t>
  </si>
  <si>
    <t>$000S</t>
  </si>
  <si>
    <t>10 XJ6s and 15 XJ8s should be produce to maximize profit at $100500</t>
  </si>
  <si>
    <t>P(x)= -0.0001x+4</t>
  </si>
  <si>
    <t>Var</t>
  </si>
  <si>
    <t>Variable cost</t>
  </si>
  <si>
    <t>Fixed cost</t>
  </si>
  <si>
    <t>Geometry</t>
  </si>
  <si>
    <t>Calculus</t>
  </si>
  <si>
    <t>Units</t>
  </si>
  <si>
    <t>proofing</t>
  </si>
  <si>
    <t>assembling</t>
  </si>
  <si>
    <t>p</t>
  </si>
  <si>
    <t>variable cost</t>
  </si>
  <si>
    <t>(10000p)+70000</t>
  </si>
  <si>
    <t>objective(max):</t>
  </si>
  <si>
    <t>1. Purchase 45 radio and 44 TV ads to optimize $40000 to reach 444444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</si>
</sst>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6" formatCode="&quot;$&quot;#,##0_);[Red]\(&quot;$&quot;#,##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
    <numFmt numFmtId="166" formatCode="_(* #,##0.0_);_(* \(#,##0.0\);_(* &quot;-&quot;??_);_(@_)"/>
    <numFmt numFmtId="167" formatCode="_(* #,##0_);_(* \(#,##0\);_(* &quot;-&quot;??_);_(@_)"/>
    <numFmt numFmtId="168" formatCode="0.0"/>
    <numFmt numFmtId="169" formatCode="0.0%"/>
    <numFmt numFmtId="170" formatCode="&quot;$&quot;#,##0.00"/>
    <numFmt numFmtId="171" formatCode="&quot;$&quot;#,##0"/>
    <numFmt numFmtId="172" formatCode="_(&quot;$&quot;* #,##0.0000000_);_(&quot;$&quot;* \(#,##0.0000000\);_(&quot;$&quot;* &quot;-&quot;??_);_(@_)"/>
    <numFmt numFmtId="173" formatCode="_(&quot;$&quot;* #,##0.0_);_(&quot;$&quot;* \(#,##0.0\);_(&quot;$&quot;* &quot;-&quot;??_);_(@_)"/>
    <numFmt numFmtId="174" formatCode="_(&quot;$&quot;* #,##0.000_);_(&quot;$&quot;* \(#,##0.000\);_(&quot;$&quot;* &quot;-&quot;??_);_(@_)"/>
    <numFmt numFmtId="175" formatCode="&quot;$&quot;#,##0.0000_);[Red]\(&quot;$&quot;#,##0.0000\)"/>
  </numFmts>
  <fonts count="23">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sz val="11"/>
      <color theme="2" tint="-0.249977111117893"/>
      <name val="Calibri"/>
      <family val="2"/>
      <scheme val="minor"/>
    </font>
    <font>
      <b/>
      <u/>
      <sz val="11"/>
      <color theme="1"/>
      <name val="Calibri"/>
      <family val="2"/>
      <scheme val="minor"/>
    </font>
    <font>
      <sz val="11"/>
      <color theme="8" tint="0.59999389629810485"/>
      <name val="Calibri"/>
      <family val="2"/>
      <scheme val="minor"/>
    </font>
    <font>
      <sz val="11"/>
      <color theme="2"/>
      <name val="Calibri"/>
      <family val="2"/>
      <scheme val="minor"/>
    </font>
    <font>
      <sz val="8"/>
      <color theme="1"/>
      <name val="Calibri"/>
      <family val="2"/>
      <scheme val="minor"/>
    </font>
    <font>
      <sz val="11"/>
      <color rgb="FF1F1F1F"/>
      <name val="Var(--cds-font-family-source-sa"/>
    </font>
    <font>
      <b/>
      <sz val="24"/>
      <color rgb="FF1F1F1F"/>
      <name val="Var(--cds-font-family-source-sa"/>
    </font>
    <font>
      <sz val="7"/>
      <color rgb="FF1F1F1F"/>
      <name val="Arial"/>
      <family val="2"/>
    </font>
    <font>
      <b/>
      <sz val="11"/>
      <color theme="1"/>
      <name val="Var(--cds-font-family-source-sa"/>
    </font>
    <font>
      <sz val="11"/>
      <color theme="1"/>
      <name val="Var(--cds-font-family-source-sa"/>
    </font>
    <font>
      <sz val="8"/>
      <name val="Calibri"/>
      <family val="2"/>
      <scheme val="minor"/>
    </font>
    <font>
      <b/>
      <sz val="7"/>
      <color rgb="FF1F1F1F"/>
      <name val="Var(--cds-font-family-source-sa"/>
    </font>
    <font>
      <sz val="7"/>
      <color rgb="FF1F1F1F"/>
      <name val="Var(--cds-font-family-source-sa"/>
    </font>
    <font>
      <b/>
      <sz val="8"/>
      <color rgb="FF1F1F1F"/>
      <name val="Arial"/>
      <family val="2"/>
    </font>
    <font>
      <sz val="8"/>
      <color rgb="FF1F1F1F"/>
      <name val="Arial"/>
      <family val="2"/>
    </font>
    <font>
      <sz val="12"/>
      <color theme="1"/>
      <name val="Calibri"/>
      <family val="2"/>
      <scheme val="minor"/>
    </font>
    <font>
      <b/>
      <sz val="8"/>
      <color rgb="FF1F1F1F"/>
      <name val="Var(--cds-font-family-source-sa"/>
    </font>
    <font>
      <b/>
      <sz val="8"/>
      <color rgb="FF1F1F1F"/>
      <name val="Unset"/>
    </font>
    <font>
      <sz val="8"/>
      <color rgb="FF1F1F1F"/>
      <name val="Var(--cds-font-family-source-sa"/>
    </font>
  </fonts>
  <fills count="22">
    <fill>
      <patternFill patternType="none"/>
    </fill>
    <fill>
      <patternFill patternType="gray125"/>
    </fill>
    <fill>
      <patternFill patternType="solid">
        <fgColor theme="9" tint="0.39997558519241921"/>
        <bgColor indexed="64"/>
      </patternFill>
    </fill>
    <fill>
      <patternFill patternType="solid">
        <fgColor theme="0" tint="-0.14999847407452621"/>
        <bgColor indexed="64"/>
      </patternFill>
    </fill>
    <fill>
      <patternFill patternType="solid">
        <fgColor theme="8" tint="-0.249977111117893"/>
        <bgColor indexed="64"/>
      </patternFill>
    </fill>
    <fill>
      <patternFill patternType="solid">
        <fgColor theme="3" tint="0.79998168889431442"/>
        <bgColor indexed="64"/>
      </patternFill>
    </fill>
    <fill>
      <patternFill patternType="solid">
        <fgColor rgb="FFFFFF00"/>
        <bgColor indexed="64"/>
      </patternFill>
    </fill>
    <fill>
      <patternFill patternType="solid">
        <fgColor theme="0" tint="-0.249977111117893"/>
        <bgColor indexed="64"/>
      </patternFill>
    </fill>
    <fill>
      <patternFill patternType="solid">
        <fgColor theme="5" tint="-0.249977111117893"/>
        <bgColor indexed="64"/>
      </patternFill>
    </fill>
    <fill>
      <patternFill patternType="solid">
        <fgColor theme="8"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92D050"/>
        <bgColor indexed="64"/>
      </patternFill>
    </fill>
    <fill>
      <patternFill patternType="solid">
        <fgColor rgb="FFFFFFFF"/>
        <bgColor indexed="64"/>
      </patternFill>
    </fill>
    <fill>
      <patternFill patternType="solid">
        <fgColor theme="8"/>
        <bgColor indexed="64"/>
      </patternFill>
    </fill>
    <fill>
      <patternFill patternType="solid">
        <fgColor rgb="FFFF0000"/>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6"/>
        <bgColor indexed="64"/>
      </patternFill>
    </fill>
    <fill>
      <patternFill patternType="solid">
        <fgColor theme="5"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132">
    <xf numFmtId="0" fontId="0" fillId="0" borderId="0" xfId="0"/>
    <xf numFmtId="44" fontId="0" fillId="0" borderId="0" xfId="0" applyNumberFormat="1"/>
    <xf numFmtId="43" fontId="0" fillId="0" borderId="0" xfId="1" applyFont="1"/>
    <xf numFmtId="0" fontId="3" fillId="0" borderId="0" xfId="0" applyFont="1" applyAlignment="1">
      <alignment horizontal="left" indent="9"/>
    </xf>
    <xf numFmtId="164" fontId="0" fillId="0" borderId="0" xfId="0" applyNumberFormat="1"/>
    <xf numFmtId="0" fontId="2" fillId="0" borderId="0" xfId="0" applyFont="1"/>
    <xf numFmtId="9" fontId="0" fillId="2" borderId="0" xfId="1" applyNumberFormat="1" applyFont="1" applyFill="1"/>
    <xf numFmtId="164" fontId="0" fillId="0" borderId="0" xfId="1" applyNumberFormat="1" applyFont="1"/>
    <xf numFmtId="9" fontId="0" fillId="0" borderId="0" xfId="0" applyNumberFormat="1"/>
    <xf numFmtId="164" fontId="4" fillId="3" borderId="0" xfId="0" applyNumberFormat="1" applyFont="1" applyFill="1"/>
    <xf numFmtId="0" fontId="0" fillId="0" borderId="1" xfId="0" applyBorder="1"/>
    <xf numFmtId="0" fontId="0" fillId="0" borderId="1" xfId="0" applyBorder="1" applyAlignment="1">
      <alignment horizontal="center"/>
    </xf>
    <xf numFmtId="44" fontId="0" fillId="0" borderId="1" xfId="0" applyNumberFormat="1" applyBorder="1" applyAlignment="1">
      <alignment horizontal="center"/>
    </xf>
    <xf numFmtId="0" fontId="0" fillId="4" borderId="0" xfId="0" applyFill="1"/>
    <xf numFmtId="164" fontId="0" fillId="0" borderId="1" xfId="0" applyNumberFormat="1" applyBorder="1"/>
    <xf numFmtId="164" fontId="4" fillId="5" borderId="1" xfId="0" applyNumberFormat="1" applyFont="1" applyFill="1" applyBorder="1"/>
    <xf numFmtId="0" fontId="6" fillId="0" borderId="0" xfId="0" applyFont="1"/>
    <xf numFmtId="0" fontId="0" fillId="0" borderId="0" xfId="0" applyAlignment="1">
      <alignment textRotation="255"/>
    </xf>
    <xf numFmtId="165" fontId="7" fillId="0" borderId="1" xfId="0" applyNumberFormat="1" applyFont="1" applyBorder="1"/>
    <xf numFmtId="165" fontId="6" fillId="0" borderId="0" xfId="0" applyNumberFormat="1" applyFont="1"/>
    <xf numFmtId="1" fontId="0" fillId="0" borderId="0" xfId="0" applyNumberFormat="1"/>
    <xf numFmtId="167" fontId="0" fillId="0" borderId="1" xfId="1" applyNumberFormat="1" applyFont="1" applyBorder="1"/>
    <xf numFmtId="0" fontId="0" fillId="0" borderId="4" xfId="0" applyBorder="1"/>
    <xf numFmtId="0" fontId="0" fillId="0" borderId="5" xfId="0" applyBorder="1"/>
    <xf numFmtId="167" fontId="0" fillId="0" borderId="0" xfId="0" applyNumberFormat="1"/>
    <xf numFmtId="168" fontId="0" fillId="0" borderId="1" xfId="0" applyNumberFormat="1" applyBorder="1"/>
    <xf numFmtId="166" fontId="0" fillId="0" borderId="1" xfId="0" applyNumberFormat="1" applyBorder="1"/>
    <xf numFmtId="169" fontId="2" fillId="0" borderId="0" xfId="0" applyNumberFormat="1" applyFont="1"/>
    <xf numFmtId="169" fontId="0" fillId="0" borderId="1" xfId="3" applyNumberFormat="1" applyFont="1" applyBorder="1"/>
    <xf numFmtId="6" fontId="0" fillId="0" borderId="0" xfId="0" applyNumberFormat="1"/>
    <xf numFmtId="170" fontId="0" fillId="0" borderId="0" xfId="0" applyNumberFormat="1"/>
    <xf numFmtId="171" fontId="0" fillId="0" borderId="0" xfId="0" applyNumberFormat="1"/>
    <xf numFmtId="44" fontId="0" fillId="0" borderId="0" xfId="2" applyFont="1"/>
    <xf numFmtId="165" fontId="0" fillId="0" borderId="0" xfId="0" applyNumberFormat="1"/>
    <xf numFmtId="164" fontId="0" fillId="0" borderId="0" xfId="2" applyNumberFormat="1" applyFont="1"/>
    <xf numFmtId="164" fontId="0" fillId="6" borderId="0" xfId="2" applyNumberFormat="1" applyFont="1" applyFill="1"/>
    <xf numFmtId="0" fontId="0" fillId="0" borderId="0" xfId="0" applyAlignment="1">
      <alignment horizontal="center"/>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horizontal="left" vertical="center" wrapText="1"/>
    </xf>
    <xf numFmtId="0" fontId="13" fillId="0" borderId="0" xfId="0" applyFont="1" applyAlignment="1">
      <alignment horizontal="left" vertical="center" wrapText="1"/>
    </xf>
    <xf numFmtId="0" fontId="0" fillId="0" borderId="0" xfId="0" applyAlignment="1">
      <alignment horizontal="left" vertical="center" indent="1"/>
    </xf>
    <xf numFmtId="0" fontId="9" fillId="0" borderId="0" xfId="0" applyFont="1" applyAlignment="1">
      <alignment horizontal="left" vertical="center" indent="1"/>
    </xf>
    <xf numFmtId="172" fontId="0" fillId="0" borderId="0" xfId="0" applyNumberFormat="1"/>
    <xf numFmtId="10" fontId="0" fillId="0" borderId="0" xfId="3" applyNumberFormat="1" applyFont="1"/>
    <xf numFmtId="10" fontId="2" fillId="0" borderId="0" xfId="0" applyNumberFormat="1" applyFont="1"/>
    <xf numFmtId="9" fontId="0" fillId="0" borderId="0" xfId="3" applyFont="1"/>
    <xf numFmtId="8" fontId="0" fillId="0" borderId="0" xfId="0" applyNumberFormat="1"/>
    <xf numFmtId="173" fontId="0" fillId="0" borderId="1" xfId="2" applyNumberFormat="1" applyFont="1" applyBorder="1"/>
    <xf numFmtId="44" fontId="0" fillId="0" borderId="1" xfId="2" applyFont="1" applyBorder="1"/>
    <xf numFmtId="0" fontId="2" fillId="0" borderId="1" xfId="0" applyFont="1" applyBorder="1" applyAlignment="1">
      <alignment horizontal="center"/>
    </xf>
    <xf numFmtId="0" fontId="0" fillId="6" borderId="0" xfId="0" applyFill="1"/>
    <xf numFmtId="1" fontId="0" fillId="2" borderId="0" xfId="0" applyNumberFormat="1"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164" fontId="0" fillId="12" borderId="0" xfId="0" applyNumberFormat="1" applyFill="1"/>
    <xf numFmtId="0" fontId="17" fillId="13" borderId="0" xfId="0" applyFont="1" applyFill="1" applyAlignment="1">
      <alignment horizontal="left" vertical="center" wrapText="1"/>
    </xf>
    <xf numFmtId="0" fontId="18" fillId="13" borderId="0" xfId="0" applyFont="1" applyFill="1" applyAlignment="1">
      <alignment horizontal="left" vertical="center"/>
    </xf>
    <xf numFmtId="0" fontId="18" fillId="13" borderId="0" xfId="0" applyFont="1" applyFill="1" applyAlignment="1">
      <alignment horizontal="left" vertical="center" wrapText="1"/>
    </xf>
    <xf numFmtId="169" fontId="0" fillId="0" borderId="0" xfId="0" applyNumberFormat="1"/>
    <xf numFmtId="0" fontId="0" fillId="14" borderId="0" xfId="0" applyFill="1"/>
    <xf numFmtId="44" fontId="0" fillId="14" borderId="0" xfId="2" applyFont="1" applyFill="1"/>
    <xf numFmtId="9" fontId="0" fillId="0" borderId="1" xfId="0" applyNumberFormat="1" applyBorder="1"/>
    <xf numFmtId="0" fontId="0" fillId="15" borderId="0" xfId="0" applyFill="1"/>
    <xf numFmtId="0" fontId="15" fillId="13" borderId="1" xfId="0" applyFont="1" applyFill="1" applyBorder="1" applyAlignment="1">
      <alignment horizontal="left" vertical="center" wrapText="1"/>
    </xf>
    <xf numFmtId="0" fontId="16" fillId="13" borderId="1" xfId="0" applyFont="1" applyFill="1" applyBorder="1" applyAlignment="1">
      <alignment horizontal="left" vertical="center" wrapText="1"/>
    </xf>
    <xf numFmtId="0" fontId="16" fillId="13" borderId="1" xfId="0" quotePrefix="1" applyFont="1" applyFill="1" applyBorder="1" applyAlignment="1">
      <alignment horizontal="left" vertical="center" wrapText="1"/>
    </xf>
    <xf numFmtId="0" fontId="0" fillId="0" borderId="1" xfId="0" quotePrefix="1" applyBorder="1"/>
    <xf numFmtId="164" fontId="2" fillId="0" borderId="0" xfId="0" applyNumberFormat="1" applyFont="1"/>
    <xf numFmtId="0" fontId="0" fillId="16" borderId="0" xfId="0" applyFill="1"/>
    <xf numFmtId="0" fontId="0" fillId="16" borderId="0" xfId="2" applyNumberFormat="1" applyFont="1" applyFill="1"/>
    <xf numFmtId="0" fontId="0" fillId="13" borderId="0" xfId="0" applyFill="1"/>
    <xf numFmtId="0" fontId="0" fillId="13" borderId="0" xfId="0" applyFill="1" applyAlignment="1">
      <alignment horizontal="left" vertical="center" wrapText="1"/>
    </xf>
    <xf numFmtId="0" fontId="15" fillId="13" borderId="0" xfId="0" applyFont="1" applyFill="1" applyAlignment="1">
      <alignment horizontal="left" vertical="center" wrapText="1"/>
    </xf>
    <xf numFmtId="0" fontId="16" fillId="13" borderId="0" xfId="0" applyFont="1" applyFill="1" applyAlignment="1">
      <alignment horizontal="left" vertical="center" wrapText="1"/>
    </xf>
    <xf numFmtId="6" fontId="16" fillId="13" borderId="0" xfId="0" applyNumberFormat="1" applyFont="1" applyFill="1" applyAlignment="1">
      <alignment horizontal="left" vertical="center" wrapText="1"/>
    </xf>
    <xf numFmtId="1" fontId="0" fillId="0" borderId="0" xfId="2" applyNumberFormat="1" applyFont="1"/>
    <xf numFmtId="1" fontId="0" fillId="6" borderId="0" xfId="0" applyNumberFormat="1" applyFill="1"/>
    <xf numFmtId="0" fontId="0" fillId="0" borderId="0" xfId="0" quotePrefix="1"/>
    <xf numFmtId="164" fontId="0" fillId="9" borderId="0" xfId="2" applyNumberFormat="1" applyFont="1" applyFill="1"/>
    <xf numFmtId="0" fontId="21" fillId="13" borderId="0" xfId="0" applyFont="1" applyFill="1" applyAlignment="1">
      <alignment horizontal="left" vertical="center" wrapText="1"/>
    </xf>
    <xf numFmtId="0" fontId="22" fillId="13" borderId="0" xfId="0" applyFont="1" applyFill="1" applyAlignment="1">
      <alignment horizontal="left" vertical="center" wrapText="1"/>
    </xf>
    <xf numFmtId="0" fontId="20" fillId="0" borderId="0" xfId="0" applyFont="1" applyAlignment="1">
      <alignment horizontal="left" vertical="center" wrapText="1"/>
    </xf>
    <xf numFmtId="0" fontId="21" fillId="0" borderId="0" xfId="0" applyFont="1" applyAlignment="1">
      <alignment horizontal="left" vertical="center" wrapText="1"/>
    </xf>
    <xf numFmtId="0" fontId="22" fillId="0" borderId="0" xfId="0" applyFont="1" applyAlignment="1">
      <alignment horizontal="left" vertical="center" wrapText="1"/>
    </xf>
    <xf numFmtId="0" fontId="0" fillId="17" borderId="0" xfId="0" applyFill="1"/>
    <xf numFmtId="0" fontId="0" fillId="18" borderId="0" xfId="0" applyFill="1"/>
    <xf numFmtId="1" fontId="0" fillId="7" borderId="0" xfId="0" applyNumberFormat="1" applyFill="1"/>
    <xf numFmtId="1" fontId="2" fillId="0" borderId="0" xfId="0" applyNumberFormat="1" applyFont="1"/>
    <xf numFmtId="0" fontId="5" fillId="0" borderId="0" xfId="0" applyFont="1"/>
    <xf numFmtId="1" fontId="0" fillId="6" borderId="0" xfId="2" applyNumberFormat="1" applyFont="1" applyFill="1"/>
    <xf numFmtId="2" fontId="0" fillId="2" borderId="0" xfId="0" applyNumberFormat="1" applyFill="1"/>
    <xf numFmtId="0" fontId="0" fillId="19" borderId="0" xfId="0" applyFill="1"/>
    <xf numFmtId="2" fontId="0" fillId="9" borderId="0" xfId="0" applyNumberFormat="1" applyFill="1"/>
    <xf numFmtId="0" fontId="16" fillId="0" borderId="0" xfId="0" applyFont="1" applyAlignment="1">
      <alignment horizontal="left" vertical="center" wrapText="1"/>
    </xf>
    <xf numFmtId="0" fontId="0" fillId="20" borderId="0" xfId="0" applyFill="1"/>
    <xf numFmtId="0" fontId="15" fillId="0" borderId="1" xfId="0" applyFont="1" applyBorder="1" applyAlignment="1">
      <alignment horizontal="left" vertical="center" wrapText="1"/>
    </xf>
    <xf numFmtId="0" fontId="16" fillId="0" borderId="1" xfId="0" applyFont="1" applyBorder="1" applyAlignment="1">
      <alignment horizontal="left" vertical="center" wrapText="1"/>
    </xf>
    <xf numFmtId="164" fontId="0" fillId="18" borderId="0" xfId="2" applyNumberFormat="1" applyFont="1" applyFill="1"/>
    <xf numFmtId="9" fontId="0" fillId="6" borderId="0" xfId="0" applyNumberFormat="1" applyFill="1"/>
    <xf numFmtId="9" fontId="0" fillId="0" borderId="1" xfId="0" applyNumberFormat="1" applyBorder="1" applyAlignment="1">
      <alignment horizontal="center"/>
    </xf>
    <xf numFmtId="9" fontId="0" fillId="0" borderId="1" xfId="3" applyFont="1" applyBorder="1" applyAlignment="1">
      <alignment horizontal="center"/>
    </xf>
    <xf numFmtId="0" fontId="0" fillId="21" borderId="0" xfId="0" applyFill="1"/>
    <xf numFmtId="0" fontId="0" fillId="21" borderId="0" xfId="0" applyFill="1" applyAlignment="1">
      <alignment horizontal="center"/>
    </xf>
    <xf numFmtId="0" fontId="2" fillId="0" borderId="1" xfId="0" applyFont="1" applyBorder="1"/>
    <xf numFmtId="2" fontId="0" fillId="0" borderId="0" xfId="0" applyNumberFormat="1"/>
    <xf numFmtId="168" fontId="0" fillId="9" borderId="0" xfId="0" applyNumberFormat="1" applyFill="1" applyAlignment="1">
      <alignment horizontal="center"/>
    </xf>
    <xf numFmtId="173" fontId="0" fillId="0" borderId="0" xfId="2" applyNumberFormat="1" applyFont="1"/>
    <xf numFmtId="174" fontId="0" fillId="0" borderId="0" xfId="2" applyNumberFormat="1" applyFont="1"/>
    <xf numFmtId="175" fontId="0" fillId="0" borderId="0" xfId="0" applyNumberFormat="1"/>
    <xf numFmtId="8" fontId="2" fillId="0" borderId="0" xfId="0" applyNumberFormat="1" applyFont="1"/>
    <xf numFmtId="0" fontId="0" fillId="0" borderId="2" xfId="0" applyBorder="1" applyAlignment="1">
      <alignment horizontal="center"/>
    </xf>
    <xf numFmtId="0" fontId="0" fillId="0" borderId="3" xfId="0" applyBorder="1" applyAlignment="1">
      <alignment horizontal="center" vertical="center" textRotation="90"/>
    </xf>
    <xf numFmtId="0" fontId="5" fillId="0" borderId="0" xfId="0" applyFont="1" applyAlignment="1">
      <alignment horizontal="left" indent="11"/>
    </xf>
    <xf numFmtId="0" fontId="0" fillId="0" borderId="0" xfId="0" applyAlignment="1">
      <alignment horizontal="left" indent="11"/>
    </xf>
    <xf numFmtId="0" fontId="0" fillId="0" borderId="0" xfId="0" applyAlignment="1">
      <alignment horizontal="center"/>
    </xf>
    <xf numFmtId="0" fontId="0" fillId="0" borderId="0" xfId="0" applyAlignment="1">
      <alignment horizontal="left" textRotation="255"/>
    </xf>
    <xf numFmtId="0" fontId="8" fillId="0" borderId="3" xfId="0" applyFont="1" applyBorder="1" applyAlignment="1">
      <alignment horizontal="center" textRotation="90"/>
    </xf>
    <xf numFmtId="0" fontId="3" fillId="0" borderId="0" xfId="0" applyFont="1" applyAlignment="1">
      <alignment horizontal="center"/>
    </xf>
    <xf numFmtId="0" fontId="0" fillId="0" borderId="0" xfId="0"/>
    <xf numFmtId="0" fontId="0" fillId="0" borderId="4" xfId="0" applyBorder="1" applyAlignment="1">
      <alignment horizontal="center"/>
    </xf>
    <xf numFmtId="0" fontId="0" fillId="0" borderId="5" xfId="0" applyBorder="1" applyAlignment="1">
      <alignment horizontal="center"/>
    </xf>
    <xf numFmtId="0" fontId="2" fillId="0" borderId="0" xfId="0" applyFont="1" applyAlignment="1">
      <alignment horizontal="center"/>
    </xf>
    <xf numFmtId="0" fontId="2" fillId="0" borderId="2" xfId="0" applyFont="1" applyBorder="1" applyAlignment="1">
      <alignment horizontal="center"/>
    </xf>
    <xf numFmtId="0" fontId="19" fillId="0" borderId="0" xfId="0" applyFont="1" applyAlignment="1">
      <alignment horizontal="center"/>
    </xf>
    <xf numFmtId="0" fontId="15" fillId="13" borderId="0" xfId="0" applyFont="1" applyFill="1" applyAlignment="1">
      <alignment horizontal="left" vertical="center" wrapText="1"/>
    </xf>
    <xf numFmtId="0" fontId="0" fillId="0" borderId="0" xfId="0" applyAlignment="1">
      <alignment horizontal="left"/>
    </xf>
  </cellXfs>
  <cellStyles count="4">
    <cellStyle name="Comma" xfId="1" builtinId="3"/>
    <cellStyle name="Currency" xfId="2" builtinId="4"/>
    <cellStyle name="Normal" xfId="0" builtinId="0"/>
    <cellStyle name="Percent" xfId="3" builtinId="5"/>
  </cellStyles>
  <dxfs count="14">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Quality Sweater Company: Response Rate V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numRef>
              <c:f>'ONE-WAY TABLE'!$E$5:$E$17</c:f>
              <c:numCache>
                <c:formatCode>0%</c:formatCode>
                <c:ptCount val="13"/>
                <c:pt idx="0">
                  <c:v>0.03</c:v>
                </c:pt>
                <c:pt idx="1">
                  <c:v>0.04</c:v>
                </c:pt>
                <c:pt idx="2">
                  <c:v>0.05</c:v>
                </c:pt>
                <c:pt idx="3">
                  <c:v>0.06</c:v>
                </c:pt>
                <c:pt idx="4">
                  <c:v>7.0000000000000007E-2</c:v>
                </c:pt>
                <c:pt idx="5">
                  <c:v>0.08</c:v>
                </c:pt>
                <c:pt idx="6">
                  <c:v>0.09</c:v>
                </c:pt>
                <c:pt idx="7">
                  <c:v>0.1</c:v>
                </c:pt>
                <c:pt idx="8">
                  <c:v>0.11</c:v>
                </c:pt>
                <c:pt idx="9">
                  <c:v>0.12</c:v>
                </c:pt>
                <c:pt idx="10">
                  <c:v>0.13</c:v>
                </c:pt>
                <c:pt idx="11">
                  <c:v>0.14000000000000001</c:v>
                </c:pt>
                <c:pt idx="12">
                  <c:v>0.15</c:v>
                </c:pt>
              </c:numCache>
            </c:numRef>
          </c:cat>
          <c:val>
            <c:numRef>
              <c:f>'ONE-WAY TABLE'!$F$5:$F$17</c:f>
              <c:numCache>
                <c:formatCode>_("$"* #,##0_);_("$"* \(#,##0\);_("$"* "-"??_);_(@_)</c:formatCode>
                <c:ptCount val="13"/>
                <c:pt idx="0">
                  <c:v>-21600</c:v>
                </c:pt>
                <c:pt idx="1">
                  <c:v>-13800</c:v>
                </c:pt>
                <c:pt idx="2">
                  <c:v>-6000</c:v>
                </c:pt>
                <c:pt idx="3">
                  <c:v>1799.9999999999709</c:v>
                </c:pt>
                <c:pt idx="4">
                  <c:v>9600</c:v>
                </c:pt>
                <c:pt idx="5">
                  <c:v>17400</c:v>
                </c:pt>
                <c:pt idx="6">
                  <c:v>25200</c:v>
                </c:pt>
                <c:pt idx="7">
                  <c:v>33000</c:v>
                </c:pt>
                <c:pt idx="8">
                  <c:v>40799.999999999942</c:v>
                </c:pt>
                <c:pt idx="9">
                  <c:v>48599.999999999942</c:v>
                </c:pt>
                <c:pt idx="10">
                  <c:v>56399.999999999942</c:v>
                </c:pt>
                <c:pt idx="11">
                  <c:v>64200</c:v>
                </c:pt>
                <c:pt idx="12">
                  <c:v>72000</c:v>
                </c:pt>
              </c:numCache>
            </c:numRef>
          </c:val>
          <c:extLst>
            <c:ext xmlns:c16="http://schemas.microsoft.com/office/drawing/2014/chart" uri="{C3380CC4-5D6E-409C-BE32-E72D297353CC}">
              <c16:uniqueId val="{00000000-9680-413E-9C4F-93CFD6135FBC}"/>
            </c:ext>
          </c:extLst>
        </c:ser>
        <c:dLbls>
          <c:showLegendKey val="0"/>
          <c:showVal val="0"/>
          <c:showCatName val="0"/>
          <c:showSerName val="0"/>
          <c:showPercent val="0"/>
          <c:showBubbleSize val="0"/>
        </c:dLbls>
        <c:gapWidth val="219"/>
        <c:overlap val="-27"/>
        <c:axId val="513615471"/>
        <c:axId val="757764735"/>
      </c:barChart>
      <c:catAx>
        <c:axId val="5136154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Response</a:t>
                </a:r>
                <a:r>
                  <a:rPr lang="en-US" baseline="0"/>
                  <a:t> Rate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7764735"/>
        <c:crosses val="autoZero"/>
        <c:auto val="1"/>
        <c:lblAlgn val="ctr"/>
        <c:lblOffset val="100"/>
        <c:noMultiLvlLbl val="0"/>
      </c:catAx>
      <c:valAx>
        <c:axId val="7577647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Profit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361547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 V Demand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959492563429572"/>
          <c:y val="0.17634259259259263"/>
          <c:w val="0.78696062992125981"/>
          <c:h val="0.62271617089530473"/>
        </c:manualLayout>
      </c:layout>
      <c:scatterChart>
        <c:scatterStyle val="lineMarker"/>
        <c:varyColors val="0"/>
        <c:ser>
          <c:idx val="0"/>
          <c:order val="0"/>
          <c:tx>
            <c:strRef>
              <c:f>'Modeling Demand and Price'!$C$2</c:f>
              <c:strCache>
                <c:ptCount val="1"/>
                <c:pt idx="0">
                  <c:v>Demand(00s)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forward val="2"/>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power"/>
            <c:dispRSqr val="0"/>
            <c:dispEq val="1"/>
            <c:trendlineLbl>
              <c:layout>
                <c:manualLayout>
                  <c:x val="-0.4593121172353456"/>
                  <c:y val="-0.63601560221638964"/>
                </c:manualLayout>
              </c:layout>
              <c:numFmt formatCode="#,##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exp"/>
            <c:dispRSqr val="0"/>
            <c:dispEq val="1"/>
            <c:trendlineLbl>
              <c:layout>
                <c:manualLayout>
                  <c:x val="-0.52127034120734905"/>
                  <c:y val="0.3442333770778652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linear"/>
            <c:dispRSqr val="0"/>
            <c:dispEq val="1"/>
            <c:trendlineLbl>
              <c:layout>
                <c:manualLayout>
                  <c:x val="0.17229899387576553"/>
                  <c:y val="-0.5478922426363371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'Modeling Demand and Price'!$B$3:$B$14</c:f>
              <c:numCache>
                <c:formatCode>General</c:formatCode>
                <c:ptCount val="12"/>
                <c:pt idx="0">
                  <c:v>450</c:v>
                </c:pt>
                <c:pt idx="1">
                  <c:v>300</c:v>
                </c:pt>
                <c:pt idx="2">
                  <c:v>440</c:v>
                </c:pt>
                <c:pt idx="3">
                  <c:v>360</c:v>
                </c:pt>
                <c:pt idx="4">
                  <c:v>290</c:v>
                </c:pt>
                <c:pt idx="5">
                  <c:v>450</c:v>
                </c:pt>
                <c:pt idx="6">
                  <c:v>390</c:v>
                </c:pt>
                <c:pt idx="7">
                  <c:v>370</c:v>
                </c:pt>
                <c:pt idx="8">
                  <c:v>500</c:v>
                </c:pt>
                <c:pt idx="9">
                  <c:v>490</c:v>
                </c:pt>
                <c:pt idx="10">
                  <c:v>430</c:v>
                </c:pt>
                <c:pt idx="11">
                  <c:v>390</c:v>
                </c:pt>
              </c:numCache>
            </c:numRef>
          </c:xVal>
          <c:yVal>
            <c:numRef>
              <c:f>'Modeling Demand and Price'!$C$3:$C$14</c:f>
              <c:numCache>
                <c:formatCode>General</c:formatCode>
                <c:ptCount val="12"/>
                <c:pt idx="0">
                  <c:v>45</c:v>
                </c:pt>
                <c:pt idx="1">
                  <c:v>103</c:v>
                </c:pt>
                <c:pt idx="2">
                  <c:v>49</c:v>
                </c:pt>
                <c:pt idx="3">
                  <c:v>86</c:v>
                </c:pt>
                <c:pt idx="4">
                  <c:v>125</c:v>
                </c:pt>
                <c:pt idx="5">
                  <c:v>52</c:v>
                </c:pt>
                <c:pt idx="6">
                  <c:v>87</c:v>
                </c:pt>
                <c:pt idx="7">
                  <c:v>68</c:v>
                </c:pt>
                <c:pt idx="8">
                  <c:v>45</c:v>
                </c:pt>
                <c:pt idx="9">
                  <c:v>44</c:v>
                </c:pt>
                <c:pt idx="10">
                  <c:v>58</c:v>
                </c:pt>
                <c:pt idx="11">
                  <c:v>68</c:v>
                </c:pt>
              </c:numCache>
            </c:numRef>
          </c:yVal>
          <c:smooth val="0"/>
          <c:extLst>
            <c:ext xmlns:c16="http://schemas.microsoft.com/office/drawing/2014/chart" uri="{C3380CC4-5D6E-409C-BE32-E72D297353CC}">
              <c16:uniqueId val="{00000000-4F4A-4C69-86DF-D7871832C411}"/>
            </c:ext>
          </c:extLst>
        </c:ser>
        <c:dLbls>
          <c:showLegendKey val="0"/>
          <c:showVal val="0"/>
          <c:showCatName val="0"/>
          <c:showSerName val="0"/>
          <c:showPercent val="0"/>
          <c:showBubbleSize val="0"/>
        </c:dLbls>
        <c:axId val="240589311"/>
        <c:axId val="238395727"/>
      </c:scatterChart>
      <c:valAx>
        <c:axId val="24058931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8395727"/>
        <c:crosses val="autoZero"/>
        <c:crossBetween val="midCat"/>
      </c:valAx>
      <c:valAx>
        <c:axId val="2383957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Demand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0589311"/>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'Modeling Demand and Price'!$E$38:$E$102</c:f>
              <c:numCache>
                <c:formatCode>_("$"* #,##0_);_("$"* \(#,##0\);_("$"* "-"??_);_(@_)</c:formatCode>
                <c:ptCount val="65"/>
                <c:pt idx="0">
                  <c:v>260</c:v>
                </c:pt>
                <c:pt idx="1">
                  <c:v>270</c:v>
                </c:pt>
                <c:pt idx="2">
                  <c:v>280</c:v>
                </c:pt>
                <c:pt idx="3">
                  <c:v>290</c:v>
                </c:pt>
                <c:pt idx="4">
                  <c:v>300</c:v>
                </c:pt>
                <c:pt idx="5">
                  <c:v>310</c:v>
                </c:pt>
                <c:pt idx="6">
                  <c:v>320</c:v>
                </c:pt>
                <c:pt idx="7">
                  <c:v>330</c:v>
                </c:pt>
                <c:pt idx="8">
                  <c:v>340</c:v>
                </c:pt>
                <c:pt idx="9">
                  <c:v>350</c:v>
                </c:pt>
                <c:pt idx="10">
                  <c:v>360</c:v>
                </c:pt>
                <c:pt idx="11">
                  <c:v>370</c:v>
                </c:pt>
                <c:pt idx="12">
                  <c:v>380</c:v>
                </c:pt>
                <c:pt idx="13">
                  <c:v>390</c:v>
                </c:pt>
                <c:pt idx="14">
                  <c:v>400</c:v>
                </c:pt>
                <c:pt idx="15">
                  <c:v>410</c:v>
                </c:pt>
                <c:pt idx="16">
                  <c:v>420</c:v>
                </c:pt>
                <c:pt idx="17">
                  <c:v>430</c:v>
                </c:pt>
                <c:pt idx="18">
                  <c:v>440</c:v>
                </c:pt>
                <c:pt idx="19">
                  <c:v>450</c:v>
                </c:pt>
                <c:pt idx="20">
                  <c:v>460</c:v>
                </c:pt>
                <c:pt idx="21">
                  <c:v>470</c:v>
                </c:pt>
                <c:pt idx="22">
                  <c:v>480</c:v>
                </c:pt>
                <c:pt idx="23">
                  <c:v>490</c:v>
                </c:pt>
                <c:pt idx="24">
                  <c:v>500</c:v>
                </c:pt>
                <c:pt idx="25">
                  <c:v>510</c:v>
                </c:pt>
                <c:pt idx="26">
                  <c:v>520</c:v>
                </c:pt>
                <c:pt idx="27">
                  <c:v>530</c:v>
                </c:pt>
                <c:pt idx="28">
                  <c:v>540</c:v>
                </c:pt>
                <c:pt idx="29">
                  <c:v>550</c:v>
                </c:pt>
                <c:pt idx="30">
                  <c:v>560</c:v>
                </c:pt>
                <c:pt idx="31">
                  <c:v>570</c:v>
                </c:pt>
                <c:pt idx="32">
                  <c:v>580</c:v>
                </c:pt>
                <c:pt idx="33">
                  <c:v>590</c:v>
                </c:pt>
                <c:pt idx="34">
                  <c:v>600</c:v>
                </c:pt>
                <c:pt idx="35">
                  <c:v>610</c:v>
                </c:pt>
                <c:pt idx="36">
                  <c:v>620</c:v>
                </c:pt>
                <c:pt idx="37">
                  <c:v>630</c:v>
                </c:pt>
                <c:pt idx="38">
                  <c:v>640</c:v>
                </c:pt>
                <c:pt idx="39">
                  <c:v>650</c:v>
                </c:pt>
                <c:pt idx="40">
                  <c:v>660</c:v>
                </c:pt>
                <c:pt idx="41">
                  <c:v>670</c:v>
                </c:pt>
                <c:pt idx="42">
                  <c:v>680</c:v>
                </c:pt>
                <c:pt idx="43">
                  <c:v>690</c:v>
                </c:pt>
                <c:pt idx="44">
                  <c:v>700</c:v>
                </c:pt>
                <c:pt idx="45">
                  <c:v>710</c:v>
                </c:pt>
                <c:pt idx="46">
                  <c:v>720</c:v>
                </c:pt>
                <c:pt idx="47">
                  <c:v>730</c:v>
                </c:pt>
                <c:pt idx="48">
                  <c:v>740</c:v>
                </c:pt>
                <c:pt idx="49">
                  <c:v>750</c:v>
                </c:pt>
                <c:pt idx="50">
                  <c:v>760</c:v>
                </c:pt>
                <c:pt idx="51">
                  <c:v>770</c:v>
                </c:pt>
                <c:pt idx="52">
                  <c:v>780</c:v>
                </c:pt>
                <c:pt idx="53">
                  <c:v>790</c:v>
                </c:pt>
                <c:pt idx="54">
                  <c:v>800</c:v>
                </c:pt>
                <c:pt idx="55">
                  <c:v>810</c:v>
                </c:pt>
                <c:pt idx="56">
                  <c:v>820</c:v>
                </c:pt>
                <c:pt idx="57">
                  <c:v>830</c:v>
                </c:pt>
                <c:pt idx="58">
                  <c:v>840</c:v>
                </c:pt>
                <c:pt idx="59">
                  <c:v>850</c:v>
                </c:pt>
                <c:pt idx="60">
                  <c:v>860</c:v>
                </c:pt>
                <c:pt idx="61">
                  <c:v>870</c:v>
                </c:pt>
                <c:pt idx="62">
                  <c:v>880</c:v>
                </c:pt>
                <c:pt idx="63">
                  <c:v>890</c:v>
                </c:pt>
                <c:pt idx="64">
                  <c:v>900</c:v>
                </c:pt>
              </c:numCache>
            </c:numRef>
          </c:cat>
          <c:val>
            <c:numRef>
              <c:f>'Modeling Demand and Price'!$F$38:$F$102</c:f>
              <c:numCache>
                <c:formatCode>_("$"* #,##0_);_("$"* \(#,##0\);_("$"* "-"??_);_(@_)</c:formatCode>
                <c:ptCount val="65"/>
                <c:pt idx="0">
                  <c:v>145534.84930377221</c:v>
                </c:pt>
                <c:pt idx="1">
                  <c:v>270622.24527997803</c:v>
                </c:pt>
                <c:pt idx="2">
                  <c:v>378418.02637671586</c:v>
                </c:pt>
                <c:pt idx="3">
                  <c:v>471517.06747816363</c:v>
                </c:pt>
                <c:pt idx="4">
                  <c:v>552066.69113647006</c:v>
                </c:pt>
                <c:pt idx="5">
                  <c:v>621854.44556017779</c:v>
                </c:pt>
                <c:pt idx="6">
                  <c:v>682376.62881692406</c:v>
                </c:pt>
                <c:pt idx="7">
                  <c:v>734892.21226484934</c:v>
                </c:pt>
                <c:pt idx="8">
                  <c:v>780465.59265076974</c:v>
                </c:pt>
                <c:pt idx="9">
                  <c:v>820000.72528255521</c:v>
                </c:pt>
                <c:pt idx="10">
                  <c:v>854268.55537604494</c:v>
                </c:pt>
                <c:pt idx="11">
                  <c:v>883929.19989526132</c:v>
                </c:pt>
                <c:pt idx="12">
                  <c:v>909549.9890042115</c:v>
                </c:pt>
                <c:pt idx="13">
                  <c:v>931620.22060136148</c:v>
                </c:pt>
                <c:pt idx="14">
                  <c:v>950563.28940358409</c:v>
                </c:pt>
                <c:pt idx="15">
                  <c:v>966746.70671605994</c:v>
                </c:pt>
                <c:pt idx="16">
                  <c:v>980490.41621063929</c:v>
                </c:pt>
                <c:pt idx="17">
                  <c:v>992073.72594959009</c:v>
                </c:pt>
                <c:pt idx="18">
                  <c:v>1001741.1111283107</c:v>
                </c:pt>
                <c:pt idx="19">
                  <c:v>1009707.0908615971</c:v>
                </c:pt>
                <c:pt idx="20">
                  <c:v>1016160.3423180997</c:v>
                </c:pt>
                <c:pt idx="21">
                  <c:v>1021267.1840167637</c:v>
                </c:pt>
                <c:pt idx="22">
                  <c:v>1025174.5351851908</c:v>
                </c:pt>
                <c:pt idx="23">
                  <c:v>1028012.4382673677</c:v>
                </c:pt>
                <c:pt idx="24">
                  <c:v>1029896.2158345418</c:v>
                </c:pt>
                <c:pt idx="25">
                  <c:v>1030928.3204393294</c:v>
                </c:pt>
                <c:pt idx="26">
                  <c:v>1031199.9256984818</c:v>
                </c:pt>
                <c:pt idx="27">
                  <c:v>1030792.2985825787</c:v>
                </c:pt>
                <c:pt idx="28">
                  <c:v>1029777.9861334859</c:v>
                </c:pt>
                <c:pt idx="29">
                  <c:v>1028221.8443116675</c:v>
                </c:pt>
                <c:pt idx="30">
                  <c:v>1026181.932150993</c:v>
                </c:pt>
                <c:pt idx="31">
                  <c:v>1023710.2906758615</c:v>
                </c:pt>
                <c:pt idx="32">
                  <c:v>1020853.6229612586</c:v>
                </c:pt>
                <c:pt idx="33">
                  <c:v>1017653.8891691741</c:v>
                </c:pt>
                <c:pt idx="34">
                  <c:v>1014148.8282774388</c:v>
                </c:pt>
                <c:pt idx="35">
                  <c:v>1010372.4164511494</c:v>
                </c:pt>
                <c:pt idx="36">
                  <c:v>1006355.2705299411</c:v>
                </c:pt>
                <c:pt idx="37">
                  <c:v>1002125.0038651584</c:v>
                </c:pt>
                <c:pt idx="38">
                  <c:v>997706.5406985709</c:v>
                </c:pt>
                <c:pt idx="39">
                  <c:v>993122.39439471276</c:v>
                </c:pt>
                <c:pt idx="40">
                  <c:v>988392.91409506625</c:v>
                </c:pt>
                <c:pt idx="41">
                  <c:v>983536.50373138895</c:v>
                </c:pt>
                <c:pt idx="42">
                  <c:v>978569.81679913995</c:v>
                </c:pt>
                <c:pt idx="43">
                  <c:v>973507.92983488471</c:v>
                </c:pt>
                <c:pt idx="44">
                  <c:v>968364.49715112743</c:v>
                </c:pt>
                <c:pt idx="45">
                  <c:v>963151.88904773071</c:v>
                </c:pt>
                <c:pt idx="46">
                  <c:v>957881.31543231953</c:v>
                </c:pt>
                <c:pt idx="47">
                  <c:v>952562.93653546902</c:v>
                </c:pt>
                <c:pt idx="48">
                  <c:v>947205.96219397034</c:v>
                </c:pt>
                <c:pt idx="49">
                  <c:v>941818.74099210929</c:v>
                </c:pt>
                <c:pt idx="50">
                  <c:v>936408.84039215092</c:v>
                </c:pt>
                <c:pt idx="51">
                  <c:v>930983.11884777993</c:v>
                </c:pt>
                <c:pt idx="52">
                  <c:v>925547.79077482293</c:v>
                </c:pt>
                <c:pt idx="53">
                  <c:v>920108.48514976038</c:v>
                </c:pt>
                <c:pt idx="54">
                  <c:v>914670.29841601639</c:v>
                </c:pt>
                <c:pt idx="55">
                  <c:v>909237.84229912935</c:v>
                </c:pt>
                <c:pt idx="56">
                  <c:v>903815.28706277837</c:v>
                </c:pt>
                <c:pt idx="57">
                  <c:v>898406.40067728644</c:v>
                </c:pt>
                <c:pt idx="58">
                  <c:v>893014.58431913401</c:v>
                </c:pt>
                <c:pt idx="59">
                  <c:v>887642.904573526</c:v>
                </c:pt>
                <c:pt idx="60">
                  <c:v>882294.12267106166</c:v>
                </c:pt>
                <c:pt idx="61">
                  <c:v>876970.72105350136</c:v>
                </c:pt>
                <c:pt idx="62">
                  <c:v>871674.92753180722</c:v>
                </c:pt>
                <c:pt idx="63">
                  <c:v>866408.7372715011</c:v>
                </c:pt>
                <c:pt idx="64">
                  <c:v>861173.93281556782</c:v>
                </c:pt>
              </c:numCache>
            </c:numRef>
          </c:val>
          <c:smooth val="0"/>
          <c:extLst>
            <c:ext xmlns:c16="http://schemas.microsoft.com/office/drawing/2014/chart" uri="{C3380CC4-5D6E-409C-BE32-E72D297353CC}">
              <c16:uniqueId val="{00000000-C22B-41AF-A53A-97DCBDE2F8E2}"/>
            </c:ext>
          </c:extLst>
        </c:ser>
        <c:dLbls>
          <c:showLegendKey val="0"/>
          <c:showVal val="0"/>
          <c:showCatName val="0"/>
          <c:showSerName val="0"/>
          <c:showPercent val="0"/>
          <c:showBubbleSize val="0"/>
        </c:dLbls>
        <c:smooth val="0"/>
        <c:axId val="1661567903"/>
        <c:axId val="688707487"/>
      </c:lineChart>
      <c:catAx>
        <c:axId val="1661567903"/>
        <c:scaling>
          <c:orientation val="minMax"/>
        </c:scaling>
        <c:delete val="0"/>
        <c:axPos val="b"/>
        <c:numFmt formatCode="_(&quot;$&quot;* #,##0_);_(&quot;$&quot;* \(#,##0\);_(&quot;$&quot;* &quot;-&quot;??_);_(@_)"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8707487"/>
        <c:crosses val="autoZero"/>
        <c:auto val="1"/>
        <c:lblAlgn val="ctr"/>
        <c:lblOffset val="100"/>
        <c:noMultiLvlLbl val="0"/>
      </c:catAx>
      <c:valAx>
        <c:axId val="688707487"/>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156790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From</a:t>
            </a:r>
            <a:r>
              <a:rPr lang="en-US" baseline="0"/>
              <a:t> 2017 - 2018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526159230096239"/>
          <c:y val="0.17171296296296298"/>
          <c:w val="0.81229396325459313"/>
          <c:h val="0.62271617089530473"/>
        </c:manualLayout>
      </c:layout>
      <c:scatterChart>
        <c:scatterStyle val="lineMarker"/>
        <c:varyColors val="0"/>
        <c:ser>
          <c:idx val="0"/>
          <c:order val="0"/>
          <c:tx>
            <c:strRef>
              <c:f>Sheet3!$C$2</c:f>
              <c:strCache>
                <c:ptCount val="1"/>
                <c:pt idx="0">
                  <c:v>Revenue (millions of USD)</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0"/>
            <c:dispEq val="1"/>
            <c:trendlineLbl>
              <c:layout>
                <c:manualLayout>
                  <c:x val="6.9656605424321958E-3"/>
                  <c:y val="-4.1141732283464568E-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power"/>
            <c:dispRSqr val="0"/>
            <c:dispEq val="1"/>
            <c:trendlineLbl>
              <c:layout>
                <c:manualLayout>
                  <c:x val="0.15061533149940415"/>
                  <c:y val="7.8144867308253138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linear"/>
            <c:dispRSqr val="0"/>
            <c:dispEq val="0"/>
          </c:trendline>
          <c:xVal>
            <c:numRef>
              <c:f>Sheet3!$B$3:$B$8</c:f>
              <c:numCache>
                <c:formatCode>General</c:formatCode>
                <c:ptCount val="6"/>
                <c:pt idx="0">
                  <c:v>1</c:v>
                </c:pt>
                <c:pt idx="1">
                  <c:v>2</c:v>
                </c:pt>
                <c:pt idx="2">
                  <c:v>3</c:v>
                </c:pt>
                <c:pt idx="3">
                  <c:v>4</c:v>
                </c:pt>
                <c:pt idx="4">
                  <c:v>5</c:v>
                </c:pt>
                <c:pt idx="5">
                  <c:v>6</c:v>
                </c:pt>
              </c:numCache>
            </c:numRef>
          </c:xVal>
          <c:yVal>
            <c:numRef>
              <c:f>Sheet3!$C$3:$C$8</c:f>
              <c:numCache>
                <c:formatCode>_("$"* #,##0.00_);_("$"* \(#,##0.00\);_("$"* "-"??_);_(@_)</c:formatCode>
                <c:ptCount val="6"/>
                <c:pt idx="0">
                  <c:v>218.6</c:v>
                </c:pt>
                <c:pt idx="1">
                  <c:v>435</c:v>
                </c:pt>
                <c:pt idx="2">
                  <c:v>915</c:v>
                </c:pt>
                <c:pt idx="3">
                  <c:v>1825.9</c:v>
                </c:pt>
                <c:pt idx="4">
                  <c:v>4021.8</c:v>
                </c:pt>
                <c:pt idx="5">
                  <c:v>3582.1</c:v>
                </c:pt>
              </c:numCache>
            </c:numRef>
          </c:yVal>
          <c:smooth val="0"/>
          <c:extLst>
            <c:ext xmlns:c16="http://schemas.microsoft.com/office/drawing/2014/chart" uri="{C3380CC4-5D6E-409C-BE32-E72D297353CC}">
              <c16:uniqueId val="{00000000-1D28-4A1C-90B7-13CF375546B8}"/>
            </c:ext>
          </c:extLst>
        </c:ser>
        <c:dLbls>
          <c:showLegendKey val="0"/>
          <c:showVal val="0"/>
          <c:showCatName val="0"/>
          <c:showSerName val="0"/>
          <c:showPercent val="0"/>
          <c:showBubbleSize val="0"/>
        </c:dLbls>
        <c:axId val="718055648"/>
        <c:axId val="646060592"/>
      </c:scatterChart>
      <c:valAx>
        <c:axId val="71805564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 Number</a:t>
                </a:r>
              </a:p>
            </c:rich>
          </c:tx>
          <c:layout>
            <c:manualLayout>
              <c:xMode val="edge"/>
              <c:yMode val="edge"/>
              <c:x val="0.39613079615048119"/>
              <c:y val="0.8879396325459317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6060592"/>
        <c:crosses val="autoZero"/>
        <c:crossBetween val="midCat"/>
      </c:valAx>
      <c:valAx>
        <c:axId val="6460605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Revenue (millions of 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05564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1" Type="http://schemas.openxmlformats.org/officeDocument/2006/relationships/image" Target="../media/image2.emf"/></Relationships>
</file>

<file path=xl/drawings/_rels/drawing6.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6</xdr:col>
      <xdr:colOff>149225</xdr:colOff>
      <xdr:row>1</xdr:row>
      <xdr:rowOff>136525</xdr:rowOff>
    </xdr:from>
    <xdr:to>
      <xdr:col>13</xdr:col>
      <xdr:colOff>454025</xdr:colOff>
      <xdr:row>16</xdr:row>
      <xdr:rowOff>117475</xdr:rowOff>
    </xdr:to>
    <xdr:graphicFrame macro="">
      <xdr:nvGraphicFramePr>
        <xdr:cNvPr id="2" name="Chart 1">
          <a:extLst>
            <a:ext uri="{FF2B5EF4-FFF2-40B4-BE49-F238E27FC236}">
              <a16:creationId xmlns:a16="http://schemas.microsoft.com/office/drawing/2014/main" id="{2D0363C2-48BD-C41C-AEC2-61CDB9420A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219075</xdr:colOff>
      <xdr:row>2</xdr:row>
      <xdr:rowOff>136525</xdr:rowOff>
    </xdr:from>
    <xdr:to>
      <xdr:col>17</xdr:col>
      <xdr:colOff>523875</xdr:colOff>
      <xdr:row>17</xdr:row>
      <xdr:rowOff>117475</xdr:rowOff>
    </xdr:to>
    <xdr:graphicFrame macro="">
      <xdr:nvGraphicFramePr>
        <xdr:cNvPr id="2" name="Chart 1">
          <a:extLst>
            <a:ext uri="{FF2B5EF4-FFF2-40B4-BE49-F238E27FC236}">
              <a16:creationId xmlns:a16="http://schemas.microsoft.com/office/drawing/2014/main" id="{9CD62397-C834-3554-10D2-D7FFB213B0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174625</xdr:colOff>
      <xdr:row>34</xdr:row>
      <xdr:rowOff>95250</xdr:rowOff>
    </xdr:from>
    <xdr:to>
      <xdr:col>14</xdr:col>
      <xdr:colOff>346075</xdr:colOff>
      <xdr:row>49</xdr:row>
      <xdr:rowOff>76200</xdr:rowOff>
    </xdr:to>
    <xdr:graphicFrame macro="">
      <xdr:nvGraphicFramePr>
        <xdr:cNvPr id="3" name="Chart 2">
          <a:extLst>
            <a:ext uri="{FF2B5EF4-FFF2-40B4-BE49-F238E27FC236}">
              <a16:creationId xmlns:a16="http://schemas.microsoft.com/office/drawing/2014/main" id="{E002DA8B-D5AD-1EA0-1641-FD39EE79B4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301625</xdr:colOff>
      <xdr:row>0</xdr:row>
      <xdr:rowOff>0</xdr:rowOff>
    </xdr:from>
    <xdr:to>
      <xdr:col>16</xdr:col>
      <xdr:colOff>301625</xdr:colOff>
      <xdr:row>14</xdr:row>
      <xdr:rowOff>165100</xdr:rowOff>
    </xdr:to>
    <xdr:graphicFrame macro="">
      <xdr:nvGraphicFramePr>
        <xdr:cNvPr id="2" name="Chart 1">
          <a:extLst>
            <a:ext uri="{FF2B5EF4-FFF2-40B4-BE49-F238E27FC236}">
              <a16:creationId xmlns:a16="http://schemas.microsoft.com/office/drawing/2014/main" id="{BD45C38C-B3BD-09C3-C49B-13471C506C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519205</xdr:colOff>
      <xdr:row>16</xdr:row>
      <xdr:rowOff>48559</xdr:rowOff>
    </xdr:from>
    <xdr:to>
      <xdr:col>12</xdr:col>
      <xdr:colOff>519205</xdr:colOff>
      <xdr:row>27</xdr:row>
      <xdr:rowOff>105709</xdr:rowOff>
    </xdr:to>
    <xdr:pic>
      <xdr:nvPicPr>
        <xdr:cNvPr id="3" name="Picture 2">
          <a:extLst>
            <a:ext uri="{FF2B5EF4-FFF2-40B4-BE49-F238E27FC236}">
              <a16:creationId xmlns:a16="http://schemas.microsoft.com/office/drawing/2014/main" id="{9E376E56-980A-011A-CF33-67C2DF00D5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37852" y="3044265"/>
          <a:ext cx="4288118" cy="2111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438150</xdr:colOff>
      <xdr:row>1</xdr:row>
      <xdr:rowOff>114300</xdr:rowOff>
    </xdr:from>
    <xdr:to>
      <xdr:col>15</xdr:col>
      <xdr:colOff>444500</xdr:colOff>
      <xdr:row>9</xdr:row>
      <xdr:rowOff>19050</xdr:rowOff>
    </xdr:to>
    <xdr:pic>
      <xdr:nvPicPr>
        <xdr:cNvPr id="2" name="Picture 1">
          <a:extLst>
            <a:ext uri="{FF2B5EF4-FFF2-40B4-BE49-F238E27FC236}">
              <a16:creationId xmlns:a16="http://schemas.microsoft.com/office/drawing/2014/main" id="{FE3783F9-AB9A-4AF5-AA10-B8BAC46928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34150" y="298450"/>
          <a:ext cx="3054350" cy="1377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400050</xdr:colOff>
      <xdr:row>2</xdr:row>
      <xdr:rowOff>107950</xdr:rowOff>
    </xdr:from>
    <xdr:to>
      <xdr:col>18</xdr:col>
      <xdr:colOff>247650</xdr:colOff>
      <xdr:row>4</xdr:row>
      <xdr:rowOff>82550</xdr:rowOff>
    </xdr:to>
    <xdr:pic>
      <xdr:nvPicPr>
        <xdr:cNvPr id="2" name="Picture 1">
          <a:extLst>
            <a:ext uri="{FF2B5EF4-FFF2-40B4-BE49-F238E27FC236}">
              <a16:creationId xmlns:a16="http://schemas.microsoft.com/office/drawing/2014/main" id="{F2872874-45A0-6FB0-DEC5-5C2DA898898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918200" y="476250"/>
          <a:ext cx="594360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DB286-B3B7-4643-AF17-06394E49061C}">
  <dimension ref="A1:F20"/>
  <sheetViews>
    <sheetView workbookViewId="0">
      <selection activeCell="B14" sqref="B14"/>
    </sheetView>
  </sheetViews>
  <sheetFormatPr defaultRowHeight="14.5"/>
  <cols>
    <col min="1" max="1" width="41.453125" bestFit="1" customWidth="1"/>
    <col min="2" max="2" width="12.08984375" bestFit="1" customWidth="1"/>
    <col min="3" max="3" width="10" bestFit="1" customWidth="1"/>
    <col min="5" max="5" width="12.6328125" bestFit="1" customWidth="1"/>
    <col min="6" max="6" width="11.7265625" bestFit="1" customWidth="1"/>
  </cols>
  <sheetData>
    <row r="1" spans="1:6" ht="18.5">
      <c r="A1" s="3" t="s">
        <v>0</v>
      </c>
    </row>
    <row r="2" spans="1:6">
      <c r="A2" s="5" t="s">
        <v>10</v>
      </c>
      <c r="E2" t="s">
        <v>21</v>
      </c>
    </row>
    <row r="3" spans="1:6">
      <c r="A3" t="s">
        <v>2</v>
      </c>
      <c r="B3" s="4">
        <v>20000</v>
      </c>
      <c r="E3" t="s">
        <v>19</v>
      </c>
      <c r="F3" t="s">
        <v>20</v>
      </c>
    </row>
    <row r="4" spans="1:6">
      <c r="A4" t="s">
        <v>1</v>
      </c>
      <c r="B4" s="1">
        <v>0.1</v>
      </c>
      <c r="C4" t="s">
        <v>3</v>
      </c>
      <c r="F4" s="9">
        <f>B20</f>
        <v>0</v>
      </c>
    </row>
    <row r="5" spans="1:6">
      <c r="A5" t="s">
        <v>8</v>
      </c>
      <c r="B5" s="1">
        <v>0.15</v>
      </c>
      <c r="C5" t="s">
        <v>3</v>
      </c>
      <c r="E5" s="8">
        <v>0.03</v>
      </c>
      <c r="F5" s="4">
        <f t="dataTable" ref="F5:F17" dt2D="0" dtr="0" r1="B15"/>
        <v>-21600</v>
      </c>
    </row>
    <row r="6" spans="1:6">
      <c r="A6" t="s">
        <v>5</v>
      </c>
      <c r="B6" s="1">
        <v>0.2</v>
      </c>
      <c r="C6" t="s">
        <v>4</v>
      </c>
      <c r="E6" s="8">
        <v>0.04</v>
      </c>
      <c r="F6" s="4">
        <v>-13800</v>
      </c>
    </row>
    <row r="7" spans="1:6">
      <c r="A7" t="s">
        <v>9</v>
      </c>
      <c r="B7" s="1">
        <f>0.8*B18</f>
        <v>32</v>
      </c>
      <c r="C7" t="s">
        <v>4</v>
      </c>
      <c r="E7" s="8">
        <v>0.05</v>
      </c>
      <c r="F7" s="4">
        <v>-6000</v>
      </c>
    </row>
    <row r="8" spans="1:6">
      <c r="B8" s="1"/>
      <c r="E8" s="8">
        <v>0.06</v>
      </c>
      <c r="F8" s="4">
        <v>1799.9999999999709</v>
      </c>
    </row>
    <row r="9" spans="1:6">
      <c r="A9" t="s">
        <v>15</v>
      </c>
      <c r="B9" s="4">
        <f>B14*(B4+B5)</f>
        <v>25000</v>
      </c>
      <c r="E9" s="8">
        <v>7.0000000000000007E-2</v>
      </c>
      <c r="F9" s="4">
        <v>9600</v>
      </c>
    </row>
    <row r="10" spans="1:6">
      <c r="A10" t="s">
        <v>16</v>
      </c>
      <c r="B10" s="4">
        <f>B16*(B6+B7)</f>
        <v>185769.23076923113</v>
      </c>
      <c r="E10" s="8">
        <v>0.08</v>
      </c>
      <c r="F10" s="4">
        <v>17400</v>
      </c>
    </row>
    <row r="11" spans="1:6">
      <c r="A11" t="s">
        <v>17</v>
      </c>
      <c r="B11" s="4">
        <f>B3+B9+B10</f>
        <v>230769.23076923113</v>
      </c>
      <c r="E11" s="8">
        <v>0.09</v>
      </c>
      <c r="F11" s="4">
        <v>25200</v>
      </c>
    </row>
    <row r="12" spans="1:6">
      <c r="E12" s="8">
        <v>0.1</v>
      </c>
      <c r="F12" s="4">
        <v>33000</v>
      </c>
    </row>
    <row r="13" spans="1:6">
      <c r="E13" s="8">
        <v>0.11</v>
      </c>
      <c r="F13" s="4">
        <v>40799.999999999942</v>
      </c>
    </row>
    <row r="14" spans="1:6">
      <c r="A14" t="s">
        <v>11</v>
      </c>
      <c r="B14" s="2">
        <v>100000</v>
      </c>
      <c r="E14" s="8">
        <v>0.12</v>
      </c>
      <c r="F14" s="4">
        <v>48599.999999999942</v>
      </c>
    </row>
    <row r="15" spans="1:6">
      <c r="A15" t="s">
        <v>12</v>
      </c>
      <c r="B15" s="6">
        <v>5.76923076923078E-2</v>
      </c>
      <c r="E15" s="8">
        <v>0.13</v>
      </c>
      <c r="F15" s="4">
        <v>56399.999999999942</v>
      </c>
    </row>
    <row r="16" spans="1:6">
      <c r="A16" t="s">
        <v>13</v>
      </c>
      <c r="B16" s="2">
        <f>B14*B15</f>
        <v>5769.2307692307795</v>
      </c>
      <c r="E16" s="8">
        <v>0.14000000000000001</v>
      </c>
      <c r="F16" s="4">
        <v>64200</v>
      </c>
    </row>
    <row r="17" spans="1:6">
      <c r="A17" s="5" t="s">
        <v>7</v>
      </c>
      <c r="B17" s="1"/>
      <c r="E17" s="8">
        <v>0.15</v>
      </c>
      <c r="F17" s="4">
        <v>72000</v>
      </c>
    </row>
    <row r="18" spans="1:6">
      <c r="A18" t="s">
        <v>6</v>
      </c>
      <c r="B18" s="1">
        <v>40</v>
      </c>
    </row>
    <row r="19" spans="1:6">
      <c r="A19" t="s">
        <v>14</v>
      </c>
      <c r="B19" s="7">
        <f>B16*B18</f>
        <v>230769.23076923119</v>
      </c>
    </row>
    <row r="20" spans="1:6">
      <c r="A20" t="s">
        <v>18</v>
      </c>
      <c r="B20" s="4">
        <f>B19-B11</f>
        <v>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88804-ECA5-4993-9B18-242E992B8140}">
  <dimension ref="A1:O21"/>
  <sheetViews>
    <sheetView workbookViewId="0">
      <selection activeCell="B16" sqref="B16"/>
    </sheetView>
  </sheetViews>
  <sheetFormatPr defaultRowHeight="14.5"/>
  <cols>
    <col min="1" max="1" width="14.36328125" bestFit="1" customWidth="1"/>
    <col min="2" max="2" width="11.08984375" bestFit="1" customWidth="1"/>
    <col min="5" max="5" width="13.81640625" bestFit="1" customWidth="1"/>
    <col min="7" max="7" width="10.08984375" bestFit="1" customWidth="1"/>
    <col min="8" max="10" width="9.1796875" bestFit="1" customWidth="1"/>
  </cols>
  <sheetData>
    <row r="1" spans="1:15">
      <c r="A1" t="s">
        <v>22</v>
      </c>
    </row>
    <row r="2" spans="1:15">
      <c r="E2" s="11" t="s">
        <v>25</v>
      </c>
      <c r="F2" s="11" t="s">
        <v>24</v>
      </c>
    </row>
    <row r="3" spans="1:15">
      <c r="E3" s="11">
        <v>0</v>
      </c>
      <c r="F3" s="12">
        <v>24</v>
      </c>
    </row>
    <row r="4" spans="1:15">
      <c r="A4" t="s">
        <v>28</v>
      </c>
      <c r="B4" s="4">
        <v>30</v>
      </c>
      <c r="E4" s="11">
        <v>1000</v>
      </c>
      <c r="F4" s="12">
        <v>23</v>
      </c>
    </row>
    <row r="5" spans="1:15">
      <c r="A5" t="s">
        <v>29</v>
      </c>
      <c r="B5" s="4">
        <v>10</v>
      </c>
      <c r="E5" s="11">
        <v>2000</v>
      </c>
      <c r="F5" s="12">
        <v>22.25</v>
      </c>
    </row>
    <row r="6" spans="1:15">
      <c r="E6" s="11">
        <v>3000</v>
      </c>
      <c r="F6" s="12">
        <v>21.75</v>
      </c>
    </row>
    <row r="7" spans="1:15">
      <c r="E7" s="11">
        <v>4000</v>
      </c>
      <c r="F7" s="12">
        <v>21.3</v>
      </c>
    </row>
    <row r="10" spans="1:15">
      <c r="A10" t="s">
        <v>26</v>
      </c>
      <c r="B10" s="13">
        <v>500</v>
      </c>
      <c r="C10" t="s">
        <v>27</v>
      </c>
    </row>
    <row r="11" spans="1:15">
      <c r="A11" t="s">
        <v>23</v>
      </c>
      <c r="B11" s="13">
        <v>500</v>
      </c>
      <c r="G11" s="116" t="s">
        <v>34</v>
      </c>
      <c r="H11" s="116"/>
      <c r="I11" s="116"/>
      <c r="J11" s="116"/>
      <c r="K11" s="116"/>
      <c r="L11" s="116"/>
      <c r="M11" s="116"/>
      <c r="N11" s="116"/>
      <c r="O11" s="116"/>
    </row>
    <row r="12" spans="1:15">
      <c r="E12" s="117" t="s">
        <v>35</v>
      </c>
      <c r="F12" s="15">
        <f>B20</f>
        <v>3000</v>
      </c>
      <c r="G12" s="10">
        <v>500</v>
      </c>
      <c r="H12" s="10">
        <v>1000</v>
      </c>
      <c r="I12" s="10">
        <v>1500</v>
      </c>
      <c r="J12" s="10">
        <v>2000</v>
      </c>
      <c r="K12" s="10">
        <v>2500</v>
      </c>
      <c r="L12" s="10">
        <v>3000</v>
      </c>
      <c r="M12" s="10">
        <v>3500</v>
      </c>
      <c r="N12" s="10">
        <v>4000</v>
      </c>
      <c r="O12" s="10">
        <v>4500</v>
      </c>
    </row>
    <row r="13" spans="1:15">
      <c r="A13" t="s">
        <v>30</v>
      </c>
      <c r="B13">
        <f>MAX(B11-B10,0)</f>
        <v>0</v>
      </c>
      <c r="E13" s="117"/>
      <c r="F13" s="10">
        <v>500</v>
      </c>
      <c r="G13" s="14">
        <f t="dataTable" ref="G13:O21" dt2D="1" dtr="1" r1="B10" r2="B11"/>
        <v>3000</v>
      </c>
      <c r="H13" s="14">
        <v>3000</v>
      </c>
      <c r="I13" s="14">
        <v>3000</v>
      </c>
      <c r="J13" s="14">
        <v>3000</v>
      </c>
      <c r="K13" s="14">
        <v>3000</v>
      </c>
      <c r="L13" s="14">
        <v>3000</v>
      </c>
      <c r="M13" s="14">
        <v>3000</v>
      </c>
      <c r="N13" s="14">
        <v>3000</v>
      </c>
      <c r="O13" s="14">
        <v>3000</v>
      </c>
    </row>
    <row r="14" spans="1:15">
      <c r="E14" s="117"/>
      <c r="F14" s="10">
        <v>1000</v>
      </c>
      <c r="G14" s="14">
        <v>-3000</v>
      </c>
      <c r="H14" s="14">
        <v>7000</v>
      </c>
      <c r="I14" s="14">
        <v>7000</v>
      </c>
      <c r="J14" s="14">
        <v>7000</v>
      </c>
      <c r="K14" s="14">
        <v>7000</v>
      </c>
      <c r="L14" s="14">
        <v>7000</v>
      </c>
      <c r="M14" s="14">
        <v>7000</v>
      </c>
      <c r="N14" s="14">
        <v>7000</v>
      </c>
      <c r="O14" s="14">
        <v>7000</v>
      </c>
    </row>
    <row r="15" spans="1:15">
      <c r="E15" s="117"/>
      <c r="F15" s="10">
        <v>1500</v>
      </c>
      <c r="G15" s="14">
        <v>-9500</v>
      </c>
      <c r="H15" s="14">
        <v>500</v>
      </c>
      <c r="I15" s="14">
        <v>10500</v>
      </c>
      <c r="J15" s="14">
        <v>10500</v>
      </c>
      <c r="K15" s="14">
        <v>10500</v>
      </c>
      <c r="L15" s="14">
        <v>10500</v>
      </c>
      <c r="M15" s="14">
        <v>10500</v>
      </c>
      <c r="N15" s="14">
        <v>10500</v>
      </c>
      <c r="O15" s="14">
        <v>10500</v>
      </c>
    </row>
    <row r="16" spans="1:15">
      <c r="A16" t="s">
        <v>31</v>
      </c>
      <c r="B16" s="4">
        <f>VLOOKUP(B11,E2:F7,2,TRUE)*B11</f>
        <v>12000</v>
      </c>
      <c r="E16" s="117"/>
      <c r="F16" s="10">
        <v>2000</v>
      </c>
      <c r="G16" s="14">
        <v>-14500</v>
      </c>
      <c r="H16" s="14">
        <v>-4500</v>
      </c>
      <c r="I16" s="14">
        <v>5500</v>
      </c>
      <c r="J16" s="14">
        <v>15500</v>
      </c>
      <c r="K16" s="14">
        <v>15500</v>
      </c>
      <c r="L16" s="14">
        <v>15500</v>
      </c>
      <c r="M16" s="14">
        <v>15500</v>
      </c>
      <c r="N16" s="14">
        <v>15500</v>
      </c>
      <c r="O16" s="14">
        <v>15500</v>
      </c>
    </row>
    <row r="17" spans="1:15">
      <c r="B17" s="4"/>
      <c r="E17" s="117"/>
      <c r="F17" s="10">
        <v>2500</v>
      </c>
      <c r="G17" s="14">
        <v>-20625</v>
      </c>
      <c r="H17" s="14">
        <v>-10625</v>
      </c>
      <c r="I17" s="14">
        <v>-625</v>
      </c>
      <c r="J17" s="14">
        <v>9375</v>
      </c>
      <c r="K17" s="14">
        <v>19375</v>
      </c>
      <c r="L17" s="14">
        <v>19375</v>
      </c>
      <c r="M17" s="14">
        <v>19375</v>
      </c>
      <c r="N17" s="14">
        <v>19375</v>
      </c>
      <c r="O17" s="14">
        <v>19375</v>
      </c>
    </row>
    <row r="18" spans="1:15">
      <c r="A18" t="s">
        <v>32</v>
      </c>
      <c r="B18" s="4">
        <f>MIN(B10:B11)*B4+B13*B5</f>
        <v>15000</v>
      </c>
      <c r="E18" s="117"/>
      <c r="F18" s="10">
        <v>3000</v>
      </c>
      <c r="G18" s="14">
        <v>-25250</v>
      </c>
      <c r="H18" s="14">
        <v>-15250</v>
      </c>
      <c r="I18" s="14">
        <v>-5250</v>
      </c>
      <c r="J18" s="14">
        <v>4750</v>
      </c>
      <c r="K18" s="14">
        <v>14750</v>
      </c>
      <c r="L18" s="14">
        <v>24750</v>
      </c>
      <c r="M18" s="14">
        <v>24750</v>
      </c>
      <c r="N18" s="14">
        <v>24750</v>
      </c>
      <c r="O18" s="14">
        <v>24750</v>
      </c>
    </row>
    <row r="19" spans="1:15">
      <c r="B19" s="4"/>
      <c r="E19" s="117"/>
      <c r="F19" s="10">
        <v>3500</v>
      </c>
      <c r="G19" s="14">
        <v>-31125</v>
      </c>
      <c r="H19" s="14">
        <v>-21125</v>
      </c>
      <c r="I19" s="14">
        <v>-11125</v>
      </c>
      <c r="J19" s="14">
        <v>-1125</v>
      </c>
      <c r="K19" s="14">
        <v>8875</v>
      </c>
      <c r="L19" s="14">
        <v>18875</v>
      </c>
      <c r="M19" s="14">
        <v>28875</v>
      </c>
      <c r="N19" s="14">
        <v>28875</v>
      </c>
      <c r="O19" s="14">
        <v>28875</v>
      </c>
    </row>
    <row r="20" spans="1:15">
      <c r="A20" t="s">
        <v>33</v>
      </c>
      <c r="B20" s="4">
        <f>B18-B16</f>
        <v>3000</v>
      </c>
      <c r="E20" s="117"/>
      <c r="F20" s="10">
        <v>4000</v>
      </c>
      <c r="G20" s="14">
        <v>-35200</v>
      </c>
      <c r="H20" s="14">
        <v>-25200</v>
      </c>
      <c r="I20" s="14">
        <v>-15200</v>
      </c>
      <c r="J20" s="14">
        <v>-5200</v>
      </c>
      <c r="K20" s="14">
        <v>4800</v>
      </c>
      <c r="L20" s="14">
        <v>14800</v>
      </c>
      <c r="M20" s="14">
        <v>24800</v>
      </c>
      <c r="N20" s="14">
        <v>34800</v>
      </c>
      <c r="O20" s="14">
        <v>34800</v>
      </c>
    </row>
    <row r="21" spans="1:15">
      <c r="E21" s="117"/>
      <c r="F21" s="10">
        <v>4500</v>
      </c>
      <c r="G21" s="14">
        <v>-40850</v>
      </c>
      <c r="H21" s="14">
        <v>-30850</v>
      </c>
      <c r="I21" s="14">
        <v>-20850</v>
      </c>
      <c r="J21" s="14">
        <v>-10850</v>
      </c>
      <c r="K21" s="14">
        <v>-850</v>
      </c>
      <c r="L21" s="14">
        <v>9150</v>
      </c>
      <c r="M21" s="14">
        <v>19150</v>
      </c>
      <c r="N21" s="14">
        <v>29150</v>
      </c>
      <c r="O21" s="14">
        <v>39150</v>
      </c>
    </row>
  </sheetData>
  <mergeCells count="2">
    <mergeCell ref="G11:O11"/>
    <mergeCell ref="E12:E21"/>
  </mergeCells>
  <conditionalFormatting sqref="F12:O21">
    <cfRule type="colorScale" priority="1">
      <colorScale>
        <cfvo type="min"/>
        <cfvo type="percentile" val="50"/>
        <cfvo type="max"/>
        <color rgb="FFF8696B"/>
        <color rgb="FFFCFCFF"/>
        <color rgb="FF63BE7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BCABD-1D73-42F0-B101-F18D41AC3299}">
  <dimension ref="A1:W19"/>
  <sheetViews>
    <sheetView workbookViewId="0">
      <selection activeCell="G4" sqref="G4"/>
    </sheetView>
  </sheetViews>
  <sheetFormatPr defaultRowHeight="14.5"/>
  <cols>
    <col min="1" max="1" width="19.54296875" bestFit="1" customWidth="1"/>
  </cols>
  <sheetData>
    <row r="1" spans="1:23" s="119" customFormat="1">
      <c r="A1" s="118" t="s">
        <v>46</v>
      </c>
    </row>
    <row r="2" spans="1:23">
      <c r="A2" t="s">
        <v>37</v>
      </c>
      <c r="C2">
        <v>5000</v>
      </c>
      <c r="D2" t="s">
        <v>41</v>
      </c>
      <c r="H2" s="120"/>
      <c r="I2" s="120"/>
      <c r="J2" s="120"/>
      <c r="K2" s="120"/>
      <c r="L2" s="120"/>
      <c r="M2" s="120"/>
      <c r="N2" s="120"/>
      <c r="O2" s="120"/>
      <c r="P2" s="120"/>
      <c r="Q2" s="120"/>
      <c r="R2" s="120"/>
      <c r="S2" s="120"/>
      <c r="T2" s="120"/>
      <c r="U2" s="120"/>
      <c r="V2" s="120"/>
      <c r="W2" s="120"/>
    </row>
    <row r="3" spans="1:23">
      <c r="A3" t="s">
        <v>36</v>
      </c>
      <c r="C3">
        <v>0.03</v>
      </c>
      <c r="D3" t="s">
        <v>43</v>
      </c>
      <c r="G3" s="16"/>
    </row>
    <row r="4" spans="1:23">
      <c r="A4" t="s">
        <v>38</v>
      </c>
      <c r="C4">
        <v>400</v>
      </c>
      <c r="D4" t="s">
        <v>42</v>
      </c>
      <c r="F4" s="121"/>
      <c r="G4" s="19">
        <f>B19</f>
        <v>-2800</v>
      </c>
      <c r="H4">
        <v>500</v>
      </c>
      <c r="I4">
        <v>1000</v>
      </c>
      <c r="J4">
        <v>1500</v>
      </c>
      <c r="K4">
        <v>2000</v>
      </c>
    </row>
    <row r="5" spans="1:23">
      <c r="F5" s="121"/>
      <c r="G5" s="1">
        <v>0.1</v>
      </c>
      <c r="H5">
        <f t="dataTable" ref="H5:K9" dt2D="1" dtr="1" r1="C9" r2="C6"/>
        <v>-2800</v>
      </c>
      <c r="I5">
        <v>-2800</v>
      </c>
      <c r="J5">
        <v>-2800</v>
      </c>
      <c r="K5">
        <v>-2800</v>
      </c>
    </row>
    <row r="6" spans="1:23">
      <c r="A6" t="s">
        <v>39</v>
      </c>
      <c r="C6">
        <v>0.1</v>
      </c>
      <c r="D6" t="s">
        <v>44</v>
      </c>
      <c r="F6" s="121"/>
      <c r="G6" s="1">
        <v>0.2</v>
      </c>
      <c r="H6">
        <v>7200</v>
      </c>
      <c r="I6">
        <v>7200</v>
      </c>
      <c r="J6">
        <v>7200</v>
      </c>
      <c r="K6">
        <v>7200</v>
      </c>
    </row>
    <row r="7" spans="1:23">
      <c r="F7" s="121"/>
      <c r="G7" s="1">
        <v>0.3</v>
      </c>
      <c r="H7">
        <v>17200</v>
      </c>
      <c r="I7">
        <v>17200</v>
      </c>
      <c r="J7">
        <v>17200</v>
      </c>
      <c r="K7">
        <v>17200</v>
      </c>
    </row>
    <row r="8" spans="1:23">
      <c r="A8" t="s">
        <v>40</v>
      </c>
      <c r="C8">
        <v>100000</v>
      </c>
      <c r="D8" t="s">
        <v>41</v>
      </c>
      <c r="F8" s="121"/>
      <c r="G8" s="1">
        <v>0.4</v>
      </c>
      <c r="H8">
        <v>27200</v>
      </c>
      <c r="I8">
        <v>27200</v>
      </c>
      <c r="J8">
        <v>27200</v>
      </c>
      <c r="K8">
        <v>27200</v>
      </c>
    </row>
    <row r="9" spans="1:23">
      <c r="A9" t="s">
        <v>26</v>
      </c>
      <c r="C9">
        <v>500</v>
      </c>
      <c r="D9" t="s">
        <v>45</v>
      </c>
      <c r="F9" s="121"/>
      <c r="G9" s="1">
        <v>0.5</v>
      </c>
      <c r="H9">
        <v>37200</v>
      </c>
      <c r="I9">
        <v>37200</v>
      </c>
      <c r="J9">
        <v>37200</v>
      </c>
      <c r="K9">
        <v>37200</v>
      </c>
    </row>
    <row r="10" spans="1:23">
      <c r="A10" t="s">
        <v>51</v>
      </c>
      <c r="C10">
        <v>1</v>
      </c>
      <c r="F10" s="121"/>
    </row>
    <row r="11" spans="1:23">
      <c r="A11" t="s">
        <v>47</v>
      </c>
      <c r="C11">
        <f>365*C9</f>
        <v>182500</v>
      </c>
      <c r="F11" s="121"/>
    </row>
    <row r="12" spans="1:23">
      <c r="F12" s="121"/>
    </row>
    <row r="13" spans="1:23">
      <c r="A13" t="s">
        <v>48</v>
      </c>
      <c r="C13">
        <f>MIN(C11,C8)</f>
        <v>100000</v>
      </c>
      <c r="F13" s="121"/>
    </row>
    <row r="14" spans="1:23">
      <c r="A14" t="s">
        <v>49</v>
      </c>
      <c r="C14">
        <f>IF(C11&gt;C8,C8,C11)</f>
        <v>100000</v>
      </c>
      <c r="F14" s="121"/>
    </row>
    <row r="15" spans="1:23">
      <c r="F15" s="121"/>
    </row>
    <row r="16" spans="1:23">
      <c r="F16" s="121"/>
    </row>
    <row r="17" spans="1:6">
      <c r="A17" t="s">
        <v>50</v>
      </c>
      <c r="B17">
        <f>C2*1+C4*12+C3*C14</f>
        <v>12800</v>
      </c>
      <c r="F17" s="121"/>
    </row>
    <row r="18" spans="1:6">
      <c r="A18" t="s">
        <v>32</v>
      </c>
      <c r="B18">
        <f>C6*C14</f>
        <v>10000</v>
      </c>
      <c r="F18" s="121"/>
    </row>
    <row r="19" spans="1:6">
      <c r="A19" t="s">
        <v>33</v>
      </c>
      <c r="B19">
        <f>B18-B17</f>
        <v>-2800</v>
      </c>
      <c r="F19" s="121"/>
    </row>
  </sheetData>
  <mergeCells count="3">
    <mergeCell ref="A1:XFD1"/>
    <mergeCell ref="H2:W2"/>
    <mergeCell ref="F4:F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F4CE0-6E1C-4C35-9EA5-E1A324076C2A}">
  <dimension ref="A2:L19"/>
  <sheetViews>
    <sheetView topLeftCell="A7" workbookViewId="0">
      <selection activeCell="F8" sqref="F8:L11"/>
    </sheetView>
  </sheetViews>
  <sheetFormatPr defaultRowHeight="14.5"/>
  <cols>
    <col min="1" max="1" width="22.08984375" bestFit="1" customWidth="1"/>
    <col min="2" max="2" width="13.6328125" bestFit="1" customWidth="1"/>
    <col min="5" max="5" width="10.1796875" bestFit="1" customWidth="1"/>
  </cols>
  <sheetData>
    <row r="2" spans="1:12">
      <c r="A2" t="s">
        <v>52</v>
      </c>
      <c r="B2">
        <v>5</v>
      </c>
    </row>
    <row r="3" spans="1:12">
      <c r="A3" t="s">
        <v>53</v>
      </c>
      <c r="B3">
        <v>30</v>
      </c>
    </row>
    <row r="4" spans="1:12">
      <c r="A4" t="s">
        <v>54</v>
      </c>
      <c r="B4">
        <f>B2*B3</f>
        <v>150</v>
      </c>
    </row>
    <row r="6" spans="1:12">
      <c r="A6" t="s">
        <v>55</v>
      </c>
      <c r="B6">
        <v>800</v>
      </c>
      <c r="F6" s="116" t="s">
        <v>66</v>
      </c>
      <c r="G6" s="116"/>
      <c r="H6" s="116"/>
      <c r="I6" s="116"/>
      <c r="J6" s="116"/>
      <c r="K6" s="116"/>
      <c r="L6" s="116"/>
    </row>
    <row r="7" spans="1:12">
      <c r="A7" t="s">
        <v>56</v>
      </c>
      <c r="B7" s="8">
        <v>0.8</v>
      </c>
      <c r="D7" s="122" t="s">
        <v>65</v>
      </c>
      <c r="E7" s="18">
        <f>B19</f>
        <v>-706000</v>
      </c>
      <c r="F7" s="10">
        <v>20</v>
      </c>
      <c r="G7" s="10">
        <v>25</v>
      </c>
      <c r="H7" s="10">
        <v>30</v>
      </c>
      <c r="I7" s="10">
        <v>35</v>
      </c>
      <c r="J7" s="10">
        <v>40</v>
      </c>
      <c r="K7" s="10">
        <v>45</v>
      </c>
      <c r="L7" s="10">
        <v>50</v>
      </c>
    </row>
    <row r="8" spans="1:12">
      <c r="A8" t="s">
        <v>57</v>
      </c>
      <c r="B8">
        <f>B7*B6</f>
        <v>640</v>
      </c>
      <c r="D8" s="122"/>
      <c r="E8" s="10">
        <v>4</v>
      </c>
      <c r="F8" s="10">
        <f t="dataTable" ref="F8:L11" dt2D="1" dtr="1" r1="B3" r2="B2"/>
        <v>-2943200</v>
      </c>
      <c r="G8" s="10">
        <v>-2304000</v>
      </c>
      <c r="H8" s="10">
        <v>-1664800</v>
      </c>
      <c r="I8" s="10">
        <v>-1025600</v>
      </c>
      <c r="J8" s="10">
        <v>-386400</v>
      </c>
      <c r="K8" s="10">
        <v>252800</v>
      </c>
      <c r="L8" s="10">
        <v>892000</v>
      </c>
    </row>
    <row r="9" spans="1:12">
      <c r="D9" s="122"/>
      <c r="E9" s="10">
        <v>5</v>
      </c>
      <c r="F9" s="10">
        <v>-2304000</v>
      </c>
      <c r="G9" s="10">
        <v>-1505000</v>
      </c>
      <c r="H9" s="10">
        <v>-706000</v>
      </c>
      <c r="I9" s="10">
        <v>93000</v>
      </c>
      <c r="J9" s="10">
        <v>892000</v>
      </c>
      <c r="K9" s="10">
        <v>1691000</v>
      </c>
      <c r="L9" s="10">
        <v>2490000</v>
      </c>
    </row>
    <row r="10" spans="1:12">
      <c r="A10" t="s">
        <v>58</v>
      </c>
      <c r="B10" s="4">
        <v>5500000</v>
      </c>
      <c r="D10" s="122"/>
      <c r="E10" s="10">
        <v>6</v>
      </c>
      <c r="F10" s="10">
        <v>-1664800</v>
      </c>
      <c r="G10" s="10">
        <v>-706000</v>
      </c>
      <c r="H10" s="10">
        <v>252800</v>
      </c>
      <c r="I10" s="10">
        <v>1211600</v>
      </c>
      <c r="J10" s="10">
        <v>2170400</v>
      </c>
      <c r="K10" s="10">
        <v>3129200</v>
      </c>
      <c r="L10" s="10">
        <v>4088000</v>
      </c>
    </row>
    <row r="11" spans="1:12">
      <c r="A11" t="s">
        <v>59</v>
      </c>
      <c r="B11" s="4">
        <v>1000</v>
      </c>
      <c r="D11" s="122"/>
      <c r="E11" s="10">
        <v>7</v>
      </c>
      <c r="F11" s="10">
        <v>-1025600</v>
      </c>
      <c r="G11" s="10">
        <v>93000</v>
      </c>
      <c r="H11" s="10">
        <v>1211600</v>
      </c>
      <c r="I11" s="10">
        <v>2330200</v>
      </c>
      <c r="J11" s="10">
        <v>3448800</v>
      </c>
      <c r="K11" s="10">
        <v>4567400</v>
      </c>
      <c r="L11" s="10">
        <v>5686000</v>
      </c>
    </row>
    <row r="12" spans="1:12">
      <c r="A12" t="s">
        <v>60</v>
      </c>
      <c r="B12" s="4">
        <f>B11*B4</f>
        <v>150000</v>
      </c>
      <c r="D12" s="17"/>
    </row>
    <row r="13" spans="1:12">
      <c r="A13" t="s">
        <v>61</v>
      </c>
      <c r="B13" s="4">
        <f>B12+B10</f>
        <v>5650000</v>
      </c>
    </row>
    <row r="14" spans="1:12">
      <c r="B14" s="4"/>
    </row>
    <row r="15" spans="1:12">
      <c r="A15" t="s">
        <v>62</v>
      </c>
      <c r="B15" s="4">
        <v>50</v>
      </c>
    </row>
    <row r="16" spans="1:12">
      <c r="A16" t="s">
        <v>63</v>
      </c>
      <c r="B16" s="4">
        <v>1.5</v>
      </c>
    </row>
    <row r="17" spans="1:2">
      <c r="A17" t="s">
        <v>64</v>
      </c>
      <c r="B17" s="4">
        <f>B4*(B8*B15+B8*B16)</f>
        <v>4944000</v>
      </c>
    </row>
    <row r="18" spans="1:2">
      <c r="B18" s="4"/>
    </row>
    <row r="19" spans="1:2">
      <c r="A19" t="s">
        <v>20</v>
      </c>
      <c r="B19" s="4">
        <f>B17-B13</f>
        <v>-706000</v>
      </c>
    </row>
  </sheetData>
  <mergeCells count="2">
    <mergeCell ref="D7:D11"/>
    <mergeCell ref="F6:L6"/>
  </mergeCells>
  <conditionalFormatting sqref="F8:L11">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FFA34-AC81-41CE-929A-31AD248A0B28}">
  <dimension ref="A1:M26"/>
  <sheetViews>
    <sheetView workbookViewId="0">
      <selection sqref="A1:M1"/>
    </sheetView>
  </sheetViews>
  <sheetFormatPr defaultRowHeight="14.5"/>
  <sheetData>
    <row r="1" spans="1:13" ht="18.5">
      <c r="A1" s="123" t="s">
        <v>108</v>
      </c>
      <c r="B1" s="123"/>
      <c r="C1" s="123"/>
      <c r="D1" s="123"/>
      <c r="E1" s="123"/>
      <c r="F1" s="123"/>
      <c r="G1" s="123"/>
      <c r="H1" s="123"/>
      <c r="I1" s="123"/>
      <c r="J1" s="123"/>
      <c r="K1" s="123"/>
      <c r="L1" s="123"/>
      <c r="M1" s="123"/>
    </row>
    <row r="2" spans="1:13">
      <c r="A2" s="37" t="s">
        <v>98</v>
      </c>
    </row>
    <row r="4" spans="1:13" ht="30">
      <c r="A4" s="38" t="s">
        <v>99</v>
      </c>
    </row>
    <row r="6" spans="1:13">
      <c r="A6" s="37" t="s">
        <v>100</v>
      </c>
    </row>
    <row r="7" spans="1:13">
      <c r="A7" s="39"/>
    </row>
    <row r="8" spans="1:13" ht="28">
      <c r="A8" s="40" t="s">
        <v>101</v>
      </c>
      <c r="B8" s="40" t="s">
        <v>102</v>
      </c>
      <c r="C8" s="40" t="s">
        <v>103</v>
      </c>
    </row>
    <row r="9" spans="1:13">
      <c r="A9" s="41">
        <v>1</v>
      </c>
      <c r="B9" s="41">
        <v>450</v>
      </c>
      <c r="C9" s="41">
        <v>45</v>
      </c>
    </row>
    <row r="10" spans="1:13">
      <c r="A10" s="41">
        <v>2</v>
      </c>
      <c r="B10" s="41">
        <v>300</v>
      </c>
      <c r="C10" s="41">
        <v>103</v>
      </c>
    </row>
    <row r="11" spans="1:13">
      <c r="A11" s="41">
        <v>3</v>
      </c>
      <c r="B11" s="41">
        <v>440</v>
      </c>
      <c r="C11" s="41">
        <v>49</v>
      </c>
    </row>
    <row r="12" spans="1:13">
      <c r="A12" s="41">
        <v>4</v>
      </c>
      <c r="B12" s="41">
        <v>360</v>
      </c>
      <c r="C12" s="41">
        <v>86</v>
      </c>
    </row>
    <row r="13" spans="1:13">
      <c r="A13" s="41">
        <v>5</v>
      </c>
      <c r="B13" s="41">
        <v>290</v>
      </c>
      <c r="C13" s="41">
        <v>125</v>
      </c>
    </row>
    <row r="14" spans="1:13">
      <c r="A14" s="41">
        <v>6</v>
      </c>
      <c r="B14" s="41">
        <v>450</v>
      </c>
      <c r="C14" s="41">
        <v>52</v>
      </c>
    </row>
    <row r="15" spans="1:13">
      <c r="A15" s="41">
        <v>7</v>
      </c>
      <c r="B15" s="41">
        <v>340</v>
      </c>
      <c r="C15" s="41">
        <v>87</v>
      </c>
    </row>
    <row r="16" spans="1:13">
      <c r="A16" s="41">
        <v>8</v>
      </c>
      <c r="B16" s="41">
        <v>370</v>
      </c>
      <c r="C16" s="41">
        <v>68</v>
      </c>
    </row>
    <row r="17" spans="1:3">
      <c r="A17" s="41">
        <v>9</v>
      </c>
      <c r="B17" s="41">
        <v>500</v>
      </c>
      <c r="C17" s="41">
        <v>45</v>
      </c>
    </row>
    <row r="18" spans="1:3">
      <c r="A18" s="41">
        <v>10</v>
      </c>
      <c r="B18" s="41">
        <v>490</v>
      </c>
      <c r="C18" s="41">
        <v>44</v>
      </c>
    </row>
    <row r="19" spans="1:3">
      <c r="A19" s="41">
        <v>11</v>
      </c>
      <c r="B19" s="41">
        <v>430</v>
      </c>
      <c r="C19" s="41">
        <v>58</v>
      </c>
    </row>
    <row r="20" spans="1:3">
      <c r="A20" s="41">
        <v>12</v>
      </c>
      <c r="B20" s="41">
        <v>390</v>
      </c>
      <c r="C20" s="41">
        <v>68</v>
      </c>
    </row>
    <row r="22" spans="1:3">
      <c r="A22" s="37" t="s">
        <v>104</v>
      </c>
    </row>
    <row r="23" spans="1:3">
      <c r="A23" s="42"/>
    </row>
    <row r="24" spans="1:3">
      <c r="A24" s="43" t="s">
        <v>105</v>
      </c>
    </row>
    <row r="25" spans="1:3">
      <c r="A25" s="43" t="s">
        <v>106</v>
      </c>
    </row>
    <row r="26" spans="1:3">
      <c r="A26" s="43" t="s">
        <v>107</v>
      </c>
    </row>
  </sheetData>
  <mergeCells count="1">
    <mergeCell ref="A1:M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CA5BE-F362-431E-86E7-8C007BE2DF91}">
  <dimension ref="A1:P123"/>
  <sheetViews>
    <sheetView topLeftCell="D10" workbookViewId="0">
      <selection activeCell="F22" sqref="F22"/>
    </sheetView>
  </sheetViews>
  <sheetFormatPr defaultRowHeight="14.5"/>
  <cols>
    <col min="1" max="1" width="13.36328125" bestFit="1" customWidth="1"/>
    <col min="2" max="3" width="13.6328125" bestFit="1" customWidth="1"/>
    <col min="4" max="4" width="10" bestFit="1" customWidth="1"/>
    <col min="5" max="5" width="12.26953125" customWidth="1"/>
    <col min="6" max="6" width="13.6328125" bestFit="1" customWidth="1"/>
    <col min="7" max="7" width="11" bestFit="1" customWidth="1"/>
    <col min="8" max="8" width="12.08984375" bestFit="1" customWidth="1"/>
  </cols>
  <sheetData>
    <row r="1" spans="1:6">
      <c r="A1" s="120" t="s">
        <v>67</v>
      </c>
      <c r="B1" s="120"/>
      <c r="C1" s="120"/>
      <c r="D1" s="120"/>
    </row>
    <row r="2" spans="1:6">
      <c r="A2" t="s">
        <v>68</v>
      </c>
      <c r="B2" t="s">
        <v>69</v>
      </c>
      <c r="C2" t="s">
        <v>70</v>
      </c>
    </row>
    <row r="3" spans="1:6">
      <c r="A3">
        <v>1</v>
      </c>
      <c r="B3">
        <v>450</v>
      </c>
      <c r="C3">
        <v>45</v>
      </c>
    </row>
    <row r="4" spans="1:6">
      <c r="A4">
        <v>2</v>
      </c>
      <c r="B4">
        <v>300</v>
      </c>
      <c r="C4">
        <v>103</v>
      </c>
    </row>
    <row r="5" spans="1:6">
      <c r="A5">
        <v>3</v>
      </c>
      <c r="B5">
        <v>440</v>
      </c>
      <c r="C5">
        <v>49</v>
      </c>
    </row>
    <row r="6" spans="1:6">
      <c r="A6">
        <v>4</v>
      </c>
      <c r="B6">
        <v>360</v>
      </c>
      <c r="C6">
        <v>86</v>
      </c>
    </row>
    <row r="7" spans="1:6">
      <c r="A7">
        <v>5</v>
      </c>
      <c r="B7">
        <v>290</v>
      </c>
      <c r="C7">
        <v>125</v>
      </c>
    </row>
    <row r="8" spans="1:6">
      <c r="A8">
        <v>6</v>
      </c>
      <c r="B8">
        <v>450</v>
      </c>
      <c r="C8">
        <v>52</v>
      </c>
    </row>
    <row r="9" spans="1:6">
      <c r="A9">
        <v>7</v>
      </c>
      <c r="B9">
        <v>390</v>
      </c>
      <c r="C9">
        <v>87</v>
      </c>
    </row>
    <row r="10" spans="1:6">
      <c r="A10">
        <v>8</v>
      </c>
      <c r="B10">
        <v>370</v>
      </c>
      <c r="C10">
        <v>68</v>
      </c>
    </row>
    <row r="11" spans="1:6">
      <c r="A11">
        <v>9</v>
      </c>
      <c r="B11">
        <v>500</v>
      </c>
      <c r="C11">
        <v>45</v>
      </c>
    </row>
    <row r="12" spans="1:6">
      <c r="A12">
        <v>10</v>
      </c>
      <c r="B12">
        <v>490</v>
      </c>
      <c r="C12">
        <v>44</v>
      </c>
    </row>
    <row r="13" spans="1:6">
      <c r="A13">
        <v>11</v>
      </c>
      <c r="B13">
        <v>430</v>
      </c>
      <c r="C13">
        <v>58</v>
      </c>
    </row>
    <row r="14" spans="1:6">
      <c r="A14">
        <v>12</v>
      </c>
      <c r="B14">
        <v>390</v>
      </c>
      <c r="C14">
        <v>68</v>
      </c>
    </row>
    <row r="16" spans="1:6">
      <c r="A16" s="125" t="s">
        <v>79</v>
      </c>
      <c r="B16" s="126"/>
      <c r="C16" s="125" t="s">
        <v>80</v>
      </c>
      <c r="D16" s="126"/>
      <c r="E16" s="22" t="s">
        <v>81</v>
      </c>
      <c r="F16" s="23"/>
    </row>
    <row r="17" spans="1:8">
      <c r="A17" s="10" t="s">
        <v>71</v>
      </c>
      <c r="B17" s="10">
        <v>216.45</v>
      </c>
      <c r="C17" s="10" t="s">
        <v>73</v>
      </c>
      <c r="D17" s="21">
        <v>6666003.8799999999</v>
      </c>
      <c r="E17" s="10" t="s">
        <v>73</v>
      </c>
      <c r="F17" s="10">
        <v>492.48</v>
      </c>
    </row>
    <row r="18" spans="1:8">
      <c r="A18" s="10" t="s">
        <v>72</v>
      </c>
      <c r="B18" s="10">
        <v>-0.36370000000000002</v>
      </c>
      <c r="C18" s="10" t="s">
        <v>74</v>
      </c>
      <c r="D18" s="10">
        <v>-1.93</v>
      </c>
      <c r="E18" s="10" t="s">
        <v>74</v>
      </c>
      <c r="F18" s="10">
        <v>-5.0000000000000001E-3</v>
      </c>
    </row>
    <row r="20" spans="1:8">
      <c r="A20" s="120" t="s">
        <v>75</v>
      </c>
      <c r="B20" s="120"/>
      <c r="C20" s="120"/>
      <c r="D20" s="120"/>
      <c r="F20" t="s">
        <v>82</v>
      </c>
    </row>
    <row r="21" spans="1:8">
      <c r="A21" t="s">
        <v>69</v>
      </c>
      <c r="B21" s="10" t="s">
        <v>76</v>
      </c>
      <c r="C21" s="10" t="s">
        <v>77</v>
      </c>
      <c r="D21" s="10" t="s">
        <v>78</v>
      </c>
      <c r="E21" s="10" t="s">
        <v>70</v>
      </c>
      <c r="F21" s="10" t="s">
        <v>83</v>
      </c>
      <c r="G21" s="10" t="s">
        <v>77</v>
      </c>
      <c r="H21" s="10" t="s">
        <v>78</v>
      </c>
    </row>
    <row r="22" spans="1:8">
      <c r="A22">
        <v>450</v>
      </c>
      <c r="B22" s="25">
        <f>$B$18*A22+$B$17</f>
        <v>52.784999999999968</v>
      </c>
      <c r="C22" s="26">
        <f>$D$17*A22^$D$18</f>
        <v>50.485354543079843</v>
      </c>
      <c r="D22" s="25">
        <f>$F$17*EXP($F$18*A22)</f>
        <v>51.907010112226949</v>
      </c>
      <c r="E22" s="10">
        <v>45</v>
      </c>
      <c r="F22" s="28">
        <f>ABS(B22-E22)/E22</f>
        <v>0.17299999999999929</v>
      </c>
      <c r="G22" s="28">
        <f>ABS(C22-E22)/E22</f>
        <v>0.12189676762399652</v>
      </c>
      <c r="H22" s="28">
        <f>ABS(D22-E22)/E22</f>
        <v>0.1534891136050433</v>
      </c>
    </row>
    <row r="23" spans="1:8">
      <c r="A23">
        <v>300</v>
      </c>
      <c r="B23" s="25">
        <f t="shared" ref="B23:B33" si="0">$B$18*A23+$B$17</f>
        <v>107.33999999999997</v>
      </c>
      <c r="C23" s="26">
        <f t="shared" ref="C23:C33" si="1">$D$17*A23^$D$18</f>
        <v>110.41333822729409</v>
      </c>
      <c r="D23" s="25">
        <f t="shared" ref="D23:D33" si="2">$F$17*EXP($F$18*A23)</f>
        <v>109.88714126989872</v>
      </c>
      <c r="E23" s="10">
        <v>103</v>
      </c>
      <c r="F23" s="28">
        <f t="shared" ref="F23:F33" si="3">ABS(B23-E23)/E23</f>
        <v>4.2135922330096845E-2</v>
      </c>
      <c r="G23" s="28">
        <f t="shared" ref="G23:G33" si="4">ABS(C23-E23)/E23</f>
        <v>7.197415754654457E-2</v>
      </c>
      <c r="H23" s="28">
        <f t="shared" ref="H23:H33" si="5">ABS(D23-E23)/E23</f>
        <v>6.6865449222317672E-2</v>
      </c>
    </row>
    <row r="24" spans="1:8">
      <c r="A24">
        <v>440</v>
      </c>
      <c r="B24" s="25">
        <f t="shared" si="0"/>
        <v>56.421999999999969</v>
      </c>
      <c r="C24" s="26">
        <f t="shared" si="1"/>
        <v>52.723216375174246</v>
      </c>
      <c r="D24" s="25">
        <f t="shared" si="2"/>
        <v>54.568339430282187</v>
      </c>
      <c r="E24" s="10">
        <v>49</v>
      </c>
      <c r="F24" s="28">
        <f t="shared" si="3"/>
        <v>0.15146938775510141</v>
      </c>
      <c r="G24" s="28">
        <f t="shared" si="4"/>
        <v>7.5984007656617267E-2</v>
      </c>
      <c r="H24" s="28">
        <f t="shared" si="5"/>
        <v>0.11363958020984055</v>
      </c>
    </row>
    <row r="25" spans="1:8">
      <c r="A25">
        <v>360</v>
      </c>
      <c r="B25" s="25">
        <f t="shared" si="0"/>
        <v>85.517999999999972</v>
      </c>
      <c r="C25" s="26">
        <f t="shared" si="1"/>
        <v>77.660777761458661</v>
      </c>
      <c r="D25" s="25">
        <f t="shared" si="2"/>
        <v>81.406396471366932</v>
      </c>
      <c r="E25" s="10">
        <v>86</v>
      </c>
      <c r="F25" s="28">
        <f t="shared" si="3"/>
        <v>5.6046511627910198E-3</v>
      </c>
      <c r="G25" s="28">
        <f t="shared" si="4"/>
        <v>9.69677004481551E-2</v>
      </c>
      <c r="H25" s="28">
        <f t="shared" si="5"/>
        <v>5.3413994518989164E-2</v>
      </c>
    </row>
    <row r="26" spans="1:8">
      <c r="A26">
        <v>290</v>
      </c>
      <c r="B26" s="25">
        <f t="shared" si="0"/>
        <v>110.97699999999998</v>
      </c>
      <c r="C26" s="26">
        <f t="shared" si="1"/>
        <v>117.87926686954097</v>
      </c>
      <c r="D26" s="25">
        <f t="shared" si="2"/>
        <v>115.52117548043347</v>
      </c>
      <c r="E26" s="10">
        <v>125</v>
      </c>
      <c r="F26" s="28">
        <f t="shared" si="3"/>
        <v>0.1121840000000002</v>
      </c>
      <c r="G26" s="28">
        <f t="shared" si="4"/>
        <v>5.6965865043672237E-2</v>
      </c>
      <c r="H26" s="28">
        <f t="shared" si="5"/>
        <v>7.5830596156532232E-2</v>
      </c>
    </row>
    <row r="27" spans="1:8">
      <c r="A27">
        <v>450</v>
      </c>
      <c r="B27" s="25">
        <f t="shared" si="0"/>
        <v>52.784999999999968</v>
      </c>
      <c r="C27" s="26">
        <f t="shared" si="1"/>
        <v>50.485354543079843</v>
      </c>
      <c r="D27" s="25">
        <f t="shared" si="2"/>
        <v>51.907010112226949</v>
      </c>
      <c r="E27" s="10">
        <v>52</v>
      </c>
      <c r="F27" s="28">
        <f t="shared" si="3"/>
        <v>1.5096153846153234E-2</v>
      </c>
      <c r="G27" s="28">
        <f t="shared" si="4"/>
        <v>2.9127797248464551E-2</v>
      </c>
      <c r="H27" s="28">
        <f t="shared" si="5"/>
        <v>1.7882670725586701E-3</v>
      </c>
    </row>
    <row r="28" spans="1:8">
      <c r="A28">
        <v>390</v>
      </c>
      <c r="B28" s="25">
        <f t="shared" si="0"/>
        <v>74.606999999999971</v>
      </c>
      <c r="C28" s="26">
        <f t="shared" si="1"/>
        <v>66.544301471525813</v>
      </c>
      <c r="D28" s="25">
        <f t="shared" si="2"/>
        <v>70.067134774926217</v>
      </c>
      <c r="E28" s="10">
        <v>87</v>
      </c>
      <c r="F28" s="28">
        <f t="shared" si="3"/>
        <v>0.14244827586206929</v>
      </c>
      <c r="G28" s="28">
        <f t="shared" si="4"/>
        <v>0.23512297159165732</v>
      </c>
      <c r="H28" s="28">
        <f t="shared" si="5"/>
        <v>0.19463063477096301</v>
      </c>
    </row>
    <row r="29" spans="1:8">
      <c r="A29">
        <v>370</v>
      </c>
      <c r="B29" s="25">
        <f t="shared" si="0"/>
        <v>81.880999999999972</v>
      </c>
      <c r="C29" s="26">
        <f t="shared" si="1"/>
        <v>73.660766657938453</v>
      </c>
      <c r="D29" s="25">
        <f t="shared" si="2"/>
        <v>77.436159666135325</v>
      </c>
      <c r="E29" s="10">
        <v>68</v>
      </c>
      <c r="F29" s="28">
        <f t="shared" si="3"/>
        <v>0.20413235294117604</v>
      </c>
      <c r="G29" s="28">
        <f t="shared" si="4"/>
        <v>8.3246568499094897E-2</v>
      </c>
      <c r="H29" s="28">
        <f t="shared" si="5"/>
        <v>0.13876705391375477</v>
      </c>
    </row>
    <row r="30" spans="1:8">
      <c r="A30">
        <v>500</v>
      </c>
      <c r="B30" s="25">
        <f t="shared" si="0"/>
        <v>34.599999999999966</v>
      </c>
      <c r="C30" s="26">
        <f t="shared" si="1"/>
        <v>41.195848633381672</v>
      </c>
      <c r="D30" s="25">
        <f t="shared" si="2"/>
        <v>40.425220122297681</v>
      </c>
      <c r="E30" s="10">
        <v>45</v>
      </c>
      <c r="F30" s="28">
        <f t="shared" si="3"/>
        <v>0.23111111111111188</v>
      </c>
      <c r="G30" s="28">
        <f t="shared" si="4"/>
        <v>8.4536697035962838E-2</v>
      </c>
      <c r="H30" s="28">
        <f t="shared" si="5"/>
        <v>0.10166177506005154</v>
      </c>
    </row>
    <row r="31" spans="1:8">
      <c r="A31">
        <v>490</v>
      </c>
      <c r="B31" s="25">
        <f t="shared" si="0"/>
        <v>38.236999999999966</v>
      </c>
      <c r="C31" s="26">
        <f t="shared" si="1"/>
        <v>42.83385159447365</v>
      </c>
      <c r="D31" s="25">
        <f t="shared" si="2"/>
        <v>42.497865479209985</v>
      </c>
      <c r="E31" s="10">
        <v>44</v>
      </c>
      <c r="F31" s="28">
        <f t="shared" si="3"/>
        <v>0.1309772727272735</v>
      </c>
      <c r="G31" s="28">
        <f t="shared" si="4"/>
        <v>2.650337285287159E-2</v>
      </c>
      <c r="H31" s="28">
        <f t="shared" si="5"/>
        <v>3.4139420927045805E-2</v>
      </c>
    </row>
    <row r="32" spans="1:8">
      <c r="A32">
        <v>430</v>
      </c>
      <c r="B32" s="25">
        <f t="shared" si="0"/>
        <v>60.058999999999969</v>
      </c>
      <c r="C32" s="26">
        <f t="shared" si="1"/>
        <v>55.115206997199444</v>
      </c>
      <c r="D32" s="25">
        <f t="shared" si="2"/>
        <v>57.366118020291786</v>
      </c>
      <c r="E32" s="10">
        <v>58</v>
      </c>
      <c r="F32" s="28">
        <f t="shared" si="3"/>
        <v>3.5499999999999469E-2</v>
      </c>
      <c r="G32" s="28">
        <f t="shared" si="4"/>
        <v>4.9737810393113042E-2</v>
      </c>
      <c r="H32" s="28">
        <f t="shared" si="5"/>
        <v>1.0928999650141618E-2</v>
      </c>
    </row>
    <row r="33" spans="1:8">
      <c r="A33">
        <v>390</v>
      </c>
      <c r="B33" s="25">
        <f t="shared" si="0"/>
        <v>74.606999999999971</v>
      </c>
      <c r="C33" s="26">
        <f t="shared" si="1"/>
        <v>66.544301471525813</v>
      </c>
      <c r="D33" s="25">
        <f t="shared" si="2"/>
        <v>70.067134774926217</v>
      </c>
      <c r="E33" s="10">
        <v>68</v>
      </c>
      <c r="F33" s="28">
        <f t="shared" si="3"/>
        <v>9.716176470588192E-2</v>
      </c>
      <c r="G33" s="28">
        <f t="shared" si="4"/>
        <v>2.1407331301090987E-2</v>
      </c>
      <c r="H33" s="28">
        <f t="shared" si="5"/>
        <v>3.0399040807738482E-2</v>
      </c>
    </row>
    <row r="34" spans="1:8">
      <c r="D34" s="127" t="s">
        <v>84</v>
      </c>
      <c r="E34" s="127"/>
      <c r="F34" s="27">
        <f>AVERAGE(F22:F33)</f>
        <v>0.11173507437013785</v>
      </c>
      <c r="G34" s="27">
        <f t="shared" ref="G34:H34" si="6">AVERAGE(G22:G33)</f>
        <v>7.9455920603436744E-2</v>
      </c>
      <c r="H34" s="27">
        <f t="shared" si="6"/>
        <v>8.1296160492914743E-2</v>
      </c>
    </row>
    <row r="35" spans="1:8">
      <c r="A35" t="s">
        <v>85</v>
      </c>
    </row>
    <row r="36" spans="1:8">
      <c r="A36" t="s">
        <v>86</v>
      </c>
      <c r="B36" s="31">
        <v>250</v>
      </c>
      <c r="C36" t="s">
        <v>87</v>
      </c>
      <c r="E36" t="s">
        <v>69</v>
      </c>
      <c r="F36" t="s">
        <v>18</v>
      </c>
    </row>
    <row r="37" spans="1:8">
      <c r="A37" t="s">
        <v>88</v>
      </c>
      <c r="B37" s="29">
        <v>400</v>
      </c>
      <c r="C37" t="s">
        <v>90</v>
      </c>
      <c r="F37" s="33">
        <f>B45</f>
        <v>950563.28940358409</v>
      </c>
    </row>
    <row r="38" spans="1:8">
      <c r="A38" t="s">
        <v>26</v>
      </c>
      <c r="B38" s="24">
        <f>D17*B37^D18</f>
        <v>63.370885960238937</v>
      </c>
      <c r="C38" t="s">
        <v>89</v>
      </c>
      <c r="E38" s="4">
        <v>260</v>
      </c>
      <c r="F38" s="34">
        <f t="dataTable" ref="F38:F102" dt2D="0" dtr="0" r1="B37"/>
        <v>145534.84930377221</v>
      </c>
    </row>
    <row r="39" spans="1:8">
      <c r="A39" t="s">
        <v>91</v>
      </c>
      <c r="B39" s="20">
        <f>B38*100</f>
        <v>6337.0885960238938</v>
      </c>
      <c r="C39" t="s">
        <v>92</v>
      </c>
      <c r="E39" s="4">
        <v>270</v>
      </c>
      <c r="F39" s="34">
        <v>270622.24527997803</v>
      </c>
    </row>
    <row r="40" spans="1:8">
      <c r="E40" s="4">
        <v>280</v>
      </c>
      <c r="F40" s="34">
        <v>378418.02637671586</v>
      </c>
      <c r="G40" s="4">
        <f>MAX(F38:F102)</f>
        <v>1031199.9256984818</v>
      </c>
    </row>
    <row r="41" spans="1:8">
      <c r="A41" t="s">
        <v>93</v>
      </c>
      <c r="B41" s="30">
        <f>B36*B39</f>
        <v>1584272.1490059735</v>
      </c>
      <c r="E41" s="4">
        <v>290</v>
      </c>
      <c r="F41" s="34">
        <v>471517.06747816363</v>
      </c>
    </row>
    <row r="42" spans="1:8">
      <c r="E42" s="4">
        <v>300</v>
      </c>
      <c r="F42" s="34">
        <v>552066.69113647006</v>
      </c>
    </row>
    <row r="43" spans="1:8">
      <c r="A43" t="s">
        <v>14</v>
      </c>
      <c r="B43" s="32">
        <f>B37*B39</f>
        <v>2534835.4384095576</v>
      </c>
      <c r="E43" s="4">
        <v>310</v>
      </c>
      <c r="F43" s="34">
        <v>621854.44556017779</v>
      </c>
    </row>
    <row r="44" spans="1:8">
      <c r="E44" s="4">
        <v>320</v>
      </c>
      <c r="F44" s="34">
        <v>682376.62881692406</v>
      </c>
    </row>
    <row r="45" spans="1:8">
      <c r="A45" t="s">
        <v>18</v>
      </c>
      <c r="B45" s="1">
        <f>B43-B41</f>
        <v>950563.28940358409</v>
      </c>
      <c r="E45" s="4">
        <v>330</v>
      </c>
      <c r="F45" s="34">
        <v>734892.21226484934</v>
      </c>
    </row>
    <row r="46" spans="1:8">
      <c r="E46" s="4">
        <v>340</v>
      </c>
      <c r="F46" s="34">
        <v>780465.59265076974</v>
      </c>
    </row>
    <row r="47" spans="1:8">
      <c r="E47" s="4">
        <v>350</v>
      </c>
      <c r="F47" s="34">
        <v>820000.72528255521</v>
      </c>
    </row>
    <row r="48" spans="1:8">
      <c r="E48" s="4">
        <v>360</v>
      </c>
      <c r="F48" s="34">
        <v>854268.55537604494</v>
      </c>
    </row>
    <row r="49" spans="5:16">
      <c r="E49" s="4">
        <v>370</v>
      </c>
      <c r="F49" s="34">
        <v>883929.19989526132</v>
      </c>
    </row>
    <row r="50" spans="5:16">
      <c r="E50" s="4">
        <v>380</v>
      </c>
      <c r="F50" s="34">
        <v>909549.9890042115</v>
      </c>
    </row>
    <row r="51" spans="5:16">
      <c r="E51" s="4">
        <v>390</v>
      </c>
      <c r="F51" s="34">
        <v>931620.22060136148</v>
      </c>
    </row>
    <row r="52" spans="5:16">
      <c r="E52" s="4">
        <v>400</v>
      </c>
      <c r="F52" s="34">
        <v>950563.28940358409</v>
      </c>
    </row>
    <row r="53" spans="5:16">
      <c r="E53" s="4">
        <v>410</v>
      </c>
      <c r="F53" s="34">
        <v>966746.70671605994</v>
      </c>
      <c r="H53" s="124" t="s">
        <v>94</v>
      </c>
      <c r="I53" s="124"/>
      <c r="J53" s="124"/>
      <c r="K53" s="124"/>
      <c r="L53" s="124"/>
      <c r="M53" s="124"/>
      <c r="N53" s="124"/>
      <c r="O53" s="124"/>
      <c r="P53" s="124"/>
    </row>
    <row r="54" spans="5:16">
      <c r="E54" s="4">
        <v>420</v>
      </c>
      <c r="F54" s="34">
        <v>980490.41621063929</v>
      </c>
      <c r="H54" s="124" t="s">
        <v>97</v>
      </c>
      <c r="I54" s="124"/>
      <c r="J54" s="124"/>
      <c r="K54" s="124"/>
      <c r="L54" s="124"/>
      <c r="M54" s="124"/>
      <c r="N54" s="124"/>
      <c r="O54" s="124"/>
      <c r="P54" s="124"/>
    </row>
    <row r="55" spans="5:16">
      <c r="E55" s="4">
        <v>430</v>
      </c>
      <c r="F55" s="34">
        <v>992073.72594959009</v>
      </c>
    </row>
    <row r="56" spans="5:16">
      <c r="E56" s="4">
        <v>440</v>
      </c>
      <c r="F56" s="34">
        <v>1001741.1111283107</v>
      </c>
      <c r="I56" s="120" t="s">
        <v>96</v>
      </c>
      <c r="J56" s="120"/>
      <c r="K56" s="120"/>
      <c r="L56" s="120"/>
      <c r="M56" s="120"/>
      <c r="N56" s="120"/>
      <c r="O56" s="120"/>
      <c r="P56" s="120"/>
    </row>
    <row r="57" spans="5:16">
      <c r="E57" s="4">
        <v>450</v>
      </c>
      <c r="F57" s="34">
        <v>1009707.0908615971</v>
      </c>
      <c r="H57" s="33">
        <f>B45</f>
        <v>950563.28940358409</v>
      </c>
      <c r="I57">
        <v>250</v>
      </c>
      <c r="J57">
        <v>300</v>
      </c>
      <c r="K57">
        <v>350</v>
      </c>
      <c r="L57">
        <v>400</v>
      </c>
      <c r="M57">
        <v>450</v>
      </c>
      <c r="N57">
        <v>500</v>
      </c>
      <c r="O57">
        <v>550</v>
      </c>
      <c r="P57">
        <v>600</v>
      </c>
    </row>
    <row r="58" spans="5:16">
      <c r="E58" s="4">
        <v>460</v>
      </c>
      <c r="F58" s="34">
        <v>1016160.3423180997</v>
      </c>
      <c r="G58" t="s">
        <v>95</v>
      </c>
      <c r="H58" s="4">
        <v>260</v>
      </c>
      <c r="I58">
        <f t="dataTable" ref="I58:P122" dt2D="1" dtr="1" r1="B36" r2="B37" ca="1"/>
        <v>145534.84930377221</v>
      </c>
      <c r="J58">
        <v>-582139.39721508697</v>
      </c>
      <c r="K58">
        <v>-1309813.6437339466</v>
      </c>
      <c r="L58">
        <v>-2037487.8902528053</v>
      </c>
      <c r="M58">
        <v>-2765162.136771665</v>
      </c>
      <c r="N58">
        <v>-3492836.3832905237</v>
      </c>
      <c r="O58">
        <v>-4220510.6298093833</v>
      </c>
      <c r="P58">
        <v>-4948184.876328242</v>
      </c>
    </row>
    <row r="59" spans="5:16">
      <c r="E59" s="4">
        <v>470</v>
      </c>
      <c r="F59" s="34">
        <v>1021267.1840167637</v>
      </c>
      <c r="H59" s="4">
        <v>270</v>
      </c>
      <c r="I59">
        <v>270622.24527997803</v>
      </c>
      <c r="J59">
        <v>-405933.36791996704</v>
      </c>
      <c r="K59">
        <v>-1082488.9811199121</v>
      </c>
      <c r="L59">
        <v>-1759044.5943198577</v>
      </c>
      <c r="M59">
        <v>-2435600.2075198032</v>
      </c>
      <c r="N59">
        <v>-3112155.8207197487</v>
      </c>
      <c r="O59">
        <v>-3788711.4339196933</v>
      </c>
      <c r="P59">
        <v>-4465267.0471196389</v>
      </c>
    </row>
    <row r="60" spans="5:16">
      <c r="E60" s="4">
        <v>480</v>
      </c>
      <c r="F60" s="34">
        <v>1025174.5351851908</v>
      </c>
      <c r="H60" s="4">
        <v>280</v>
      </c>
      <c r="I60">
        <v>378418.02637671586</v>
      </c>
      <c r="J60">
        <v>-252278.68425114406</v>
      </c>
      <c r="K60">
        <v>-882975.39487900352</v>
      </c>
      <c r="L60">
        <v>-1513672.105506863</v>
      </c>
      <c r="M60">
        <v>-2144368.8161347234</v>
      </c>
      <c r="N60">
        <v>-2775065.5267625828</v>
      </c>
      <c r="O60">
        <v>-3405762.2373904423</v>
      </c>
      <c r="P60">
        <v>-4036458.9480183027</v>
      </c>
    </row>
    <row r="61" spans="5:16">
      <c r="E61" s="4">
        <v>490</v>
      </c>
      <c r="F61" s="34">
        <v>1028012.4382673677</v>
      </c>
      <c r="H61" s="4">
        <v>290</v>
      </c>
      <c r="I61">
        <v>471517.06747816363</v>
      </c>
      <c r="J61">
        <v>-117879.26686954079</v>
      </c>
      <c r="K61">
        <v>-707275.60121724568</v>
      </c>
      <c r="L61">
        <v>-1296671.935564951</v>
      </c>
      <c r="M61">
        <v>-1886068.2699126555</v>
      </c>
      <c r="N61">
        <v>-2475464.6042603608</v>
      </c>
      <c r="O61">
        <v>-3064860.9386080652</v>
      </c>
      <c r="P61">
        <v>-3654257.2729557697</v>
      </c>
    </row>
    <row r="62" spans="5:16">
      <c r="E62" s="4">
        <v>500</v>
      </c>
      <c r="F62" s="34">
        <v>1029896.2158345418</v>
      </c>
      <c r="H62" s="4">
        <v>300</v>
      </c>
      <c r="I62">
        <v>552066.69113647006</v>
      </c>
      <c r="J62">
        <v>0</v>
      </c>
      <c r="K62">
        <v>-552066.69113647053</v>
      </c>
      <c r="L62">
        <v>-1104133.3822729415</v>
      </c>
      <c r="M62">
        <v>-1656200.0734094116</v>
      </c>
      <c r="N62">
        <v>-2208266.7645458826</v>
      </c>
      <c r="O62">
        <v>-2760333.4556823527</v>
      </c>
      <c r="P62">
        <v>-3312400.1468188227</v>
      </c>
    </row>
    <row r="63" spans="5:16">
      <c r="E63" s="4">
        <v>510</v>
      </c>
      <c r="F63" s="34">
        <v>1030928.3204393294</v>
      </c>
      <c r="H63" s="4">
        <v>310</v>
      </c>
      <c r="I63">
        <v>621854.44556017779</v>
      </c>
      <c r="J63">
        <v>103642.40759336296</v>
      </c>
      <c r="K63">
        <v>-414569.63037345186</v>
      </c>
      <c r="L63">
        <v>-932781.66834026668</v>
      </c>
      <c r="M63">
        <v>-1450993.7063070815</v>
      </c>
      <c r="N63">
        <v>-1969205.7442738963</v>
      </c>
      <c r="O63">
        <v>-2487417.7822407112</v>
      </c>
      <c r="P63">
        <v>-3005629.820207526</v>
      </c>
    </row>
    <row r="64" spans="5:16">
      <c r="E64" s="4">
        <v>520</v>
      </c>
      <c r="F64" s="35">
        <v>1031199.9256984818</v>
      </c>
      <c r="H64" s="4">
        <v>320</v>
      </c>
      <c r="I64">
        <v>682376.62881692406</v>
      </c>
      <c r="J64">
        <v>194964.75109054986</v>
      </c>
      <c r="K64">
        <v>-292447.12663582433</v>
      </c>
      <c r="L64">
        <v>-779859.00436219852</v>
      </c>
      <c r="M64">
        <v>-1267270.8820885723</v>
      </c>
      <c r="N64">
        <v>-1754682.7598149464</v>
      </c>
      <c r="O64">
        <v>-2242094.6375413206</v>
      </c>
      <c r="P64">
        <v>-2729506.5152676948</v>
      </c>
    </row>
    <row r="65" spans="5:16">
      <c r="E65" s="4">
        <v>530</v>
      </c>
      <c r="F65" s="34">
        <v>1030792.2985825787</v>
      </c>
      <c r="H65" s="4">
        <v>330</v>
      </c>
      <c r="I65">
        <v>734892.21226484934</v>
      </c>
      <c r="J65">
        <v>275584.57959931856</v>
      </c>
      <c r="K65">
        <v>-183723.05306621222</v>
      </c>
      <c r="L65">
        <v>-643030.685731743</v>
      </c>
      <c r="M65">
        <v>-1102338.3183972738</v>
      </c>
      <c r="N65">
        <v>-1561645.951062805</v>
      </c>
      <c r="O65">
        <v>-2020953.5837283358</v>
      </c>
      <c r="P65">
        <v>-2480261.2163938666</v>
      </c>
    </row>
    <row r="66" spans="5:16">
      <c r="E66" s="4">
        <v>540</v>
      </c>
      <c r="F66" s="34">
        <v>1029777.9861334859</v>
      </c>
      <c r="H66" s="4">
        <v>340</v>
      </c>
      <c r="I66">
        <v>780465.59265076974</v>
      </c>
      <c r="J66">
        <v>346873.59673367534</v>
      </c>
      <c r="K66">
        <v>-86718.399183418602</v>
      </c>
      <c r="L66">
        <v>-520310.39510051301</v>
      </c>
      <c r="M66">
        <v>-953902.39101760741</v>
      </c>
      <c r="N66">
        <v>-1387494.3869347018</v>
      </c>
      <c r="O66">
        <v>-1821086.3828517958</v>
      </c>
      <c r="P66">
        <v>-2254678.3787688906</v>
      </c>
    </row>
    <row r="67" spans="5:16">
      <c r="E67" s="4">
        <v>550</v>
      </c>
      <c r="F67" s="34">
        <v>1028221.8443116675</v>
      </c>
      <c r="H67" s="4">
        <v>350</v>
      </c>
      <c r="I67">
        <v>820000.72528255521</v>
      </c>
      <c r="J67">
        <v>410000.36264127772</v>
      </c>
      <c r="K67">
        <v>0</v>
      </c>
      <c r="L67">
        <v>-410000.36264127772</v>
      </c>
      <c r="M67">
        <v>-820000.72528255591</v>
      </c>
      <c r="N67">
        <v>-1230001.0879238336</v>
      </c>
      <c r="O67">
        <v>-1640001.4505651109</v>
      </c>
      <c r="P67">
        <v>-2050001.8132063886</v>
      </c>
    </row>
    <row r="68" spans="5:16">
      <c r="E68" s="4">
        <v>560</v>
      </c>
      <c r="F68" s="34">
        <v>1026181.932150993</v>
      </c>
      <c r="H68" s="4">
        <v>360</v>
      </c>
      <c r="I68">
        <v>854268.55537604494</v>
      </c>
      <c r="J68">
        <v>465964.66656875191</v>
      </c>
      <c r="K68">
        <v>77660.777761458419</v>
      </c>
      <c r="L68">
        <v>-310643.11104583461</v>
      </c>
      <c r="M68">
        <v>-698946.9998531281</v>
      </c>
      <c r="N68">
        <v>-1087250.8886604216</v>
      </c>
      <c r="O68">
        <v>-1475554.7774677146</v>
      </c>
      <c r="P68">
        <v>-1863858.6662750077</v>
      </c>
    </row>
    <row r="69" spans="5:16">
      <c r="E69" s="4">
        <v>570</v>
      </c>
      <c r="F69" s="34">
        <v>1023710.2906758615</v>
      </c>
      <c r="H69" s="4">
        <v>370</v>
      </c>
      <c r="I69">
        <v>883929.19989526132</v>
      </c>
      <c r="J69">
        <v>515625.36660556914</v>
      </c>
      <c r="K69">
        <v>147321.5333158765</v>
      </c>
      <c r="L69">
        <v>-220982.29997381568</v>
      </c>
      <c r="M69">
        <v>-589286.13326350786</v>
      </c>
      <c r="N69">
        <v>-957589.96655320004</v>
      </c>
      <c r="O69">
        <v>-1325893.7998428922</v>
      </c>
      <c r="P69">
        <v>-1694197.6331325844</v>
      </c>
    </row>
    <row r="70" spans="5:16">
      <c r="E70" s="4">
        <v>580</v>
      </c>
      <c r="F70" s="34">
        <v>1020853.6229612586</v>
      </c>
      <c r="H70" s="4">
        <v>380</v>
      </c>
      <c r="I70">
        <v>909549.9890042115</v>
      </c>
      <c r="J70">
        <v>559723.07015643781</v>
      </c>
      <c r="K70">
        <v>209896.15130866412</v>
      </c>
      <c r="L70">
        <v>-139930.7675391091</v>
      </c>
      <c r="M70">
        <v>-489757.68638688279</v>
      </c>
      <c r="N70">
        <v>-839584.60523465648</v>
      </c>
      <c r="O70">
        <v>-1189411.5240824302</v>
      </c>
      <c r="P70">
        <v>-1539238.4429302039</v>
      </c>
    </row>
    <row r="71" spans="5:16">
      <c r="E71" s="4">
        <v>590</v>
      </c>
      <c r="F71" s="34">
        <v>1017653.8891691741</v>
      </c>
      <c r="H71" s="4">
        <v>390</v>
      </c>
      <c r="I71">
        <v>931620.22060136148</v>
      </c>
      <c r="J71">
        <v>598898.71324373246</v>
      </c>
      <c r="K71">
        <v>266177.20588610321</v>
      </c>
      <c r="L71">
        <v>-66544.301471525803</v>
      </c>
      <c r="M71">
        <v>-399265.80882915482</v>
      </c>
      <c r="N71">
        <v>-731987.31618678384</v>
      </c>
      <c r="O71">
        <v>-1064708.8235444129</v>
      </c>
      <c r="P71">
        <v>-1397430.3309020419</v>
      </c>
    </row>
    <row r="72" spans="5:16">
      <c r="E72" s="4">
        <v>600</v>
      </c>
      <c r="F72" s="34">
        <v>1014148.8282774388</v>
      </c>
      <c r="H72" s="4">
        <v>400</v>
      </c>
      <c r="I72">
        <v>950563.28940358409</v>
      </c>
      <c r="J72">
        <v>633708.85960238939</v>
      </c>
      <c r="K72">
        <v>316854.42980119493</v>
      </c>
      <c r="L72">
        <v>0</v>
      </c>
      <c r="M72">
        <v>-316854.42980119446</v>
      </c>
      <c r="N72">
        <v>-633708.85960238939</v>
      </c>
      <c r="O72">
        <v>-950563.28940358385</v>
      </c>
      <c r="P72">
        <v>-1267417.7192047788</v>
      </c>
    </row>
    <row r="73" spans="5:16">
      <c r="E73" s="4">
        <v>610</v>
      </c>
      <c r="F73" s="34">
        <v>1010372.4164511494</v>
      </c>
      <c r="H73" s="4">
        <v>410</v>
      </c>
      <c r="I73">
        <v>966746.70671605994</v>
      </c>
      <c r="J73">
        <v>664638.36086729122</v>
      </c>
      <c r="K73">
        <v>362530.01501852227</v>
      </c>
      <c r="L73">
        <v>60421.66916975379</v>
      </c>
      <c r="M73">
        <v>-241686.67667901516</v>
      </c>
      <c r="N73">
        <v>-543795.02252778411</v>
      </c>
      <c r="O73">
        <v>-845903.36837655259</v>
      </c>
      <c r="P73">
        <v>-1148011.7142253215</v>
      </c>
    </row>
    <row r="74" spans="5:16">
      <c r="E74" s="4">
        <v>620</v>
      </c>
      <c r="F74" s="34">
        <v>1006355.2705299411</v>
      </c>
      <c r="H74" s="4">
        <v>420</v>
      </c>
      <c r="I74">
        <v>980490.41621063929</v>
      </c>
      <c r="J74">
        <v>692110.88203103957</v>
      </c>
      <c r="K74">
        <v>403731.34785143961</v>
      </c>
      <c r="L74">
        <v>115351.81367183989</v>
      </c>
      <c r="M74">
        <v>-173027.72050776007</v>
      </c>
      <c r="N74">
        <v>-461407.25468736002</v>
      </c>
      <c r="O74">
        <v>-749786.78886695951</v>
      </c>
      <c r="P74">
        <v>-1038166.3230465595</v>
      </c>
    </row>
    <row r="75" spans="5:16">
      <c r="E75" s="4">
        <v>630</v>
      </c>
      <c r="F75" s="34">
        <v>1002125.0038651584</v>
      </c>
      <c r="H75" s="4">
        <v>430</v>
      </c>
      <c r="I75">
        <v>992073.72594959009</v>
      </c>
      <c r="J75">
        <v>716497.69096359285</v>
      </c>
      <c r="K75">
        <v>440921.6559775956</v>
      </c>
      <c r="L75">
        <v>165345.62099159835</v>
      </c>
      <c r="M75">
        <v>-110230.4139943989</v>
      </c>
      <c r="N75">
        <v>-385806.44898039615</v>
      </c>
      <c r="O75">
        <v>-661382.4839663934</v>
      </c>
      <c r="P75">
        <v>-936958.51895239064</v>
      </c>
    </row>
    <row r="76" spans="5:16">
      <c r="E76" s="4">
        <v>640</v>
      </c>
      <c r="F76" s="34">
        <v>997706.5406985709</v>
      </c>
      <c r="H76" s="4">
        <v>440</v>
      </c>
      <c r="I76">
        <v>1001741.1111283107</v>
      </c>
      <c r="J76">
        <v>738125.0292524395</v>
      </c>
      <c r="K76">
        <v>474508.94737656834</v>
      </c>
      <c r="L76">
        <v>210892.86550069693</v>
      </c>
      <c r="M76">
        <v>-52723.216375174001</v>
      </c>
      <c r="N76">
        <v>-316339.2982510454</v>
      </c>
      <c r="O76">
        <v>-579955.3801269168</v>
      </c>
      <c r="P76">
        <v>-843571.46200278774</v>
      </c>
    </row>
    <row r="77" spans="5:16">
      <c r="E77" s="4">
        <v>650</v>
      </c>
      <c r="F77" s="34">
        <v>993122.39439471276</v>
      </c>
      <c r="H77" s="4">
        <v>450</v>
      </c>
      <c r="I77">
        <v>1009707.0908615971</v>
      </c>
      <c r="J77">
        <v>757280.31814619782</v>
      </c>
      <c r="K77">
        <v>504853.54543079855</v>
      </c>
      <c r="L77">
        <v>252426.77271539927</v>
      </c>
      <c r="M77">
        <v>0</v>
      </c>
      <c r="N77">
        <v>-252426.77271539904</v>
      </c>
      <c r="O77">
        <v>-504853.54543079855</v>
      </c>
      <c r="P77">
        <v>-757280.31814619759</v>
      </c>
    </row>
    <row r="78" spans="5:16">
      <c r="E78" s="4">
        <v>660</v>
      </c>
      <c r="F78" s="34">
        <v>988392.91409506625</v>
      </c>
      <c r="H78" s="4">
        <v>460</v>
      </c>
      <c r="I78">
        <v>1016160.3423180997</v>
      </c>
      <c r="J78">
        <v>774217.4036709331</v>
      </c>
      <c r="K78">
        <v>532274.4650237665</v>
      </c>
      <c r="L78">
        <v>290331.52637659991</v>
      </c>
      <c r="M78">
        <v>48388.587729433086</v>
      </c>
      <c r="N78">
        <v>-193554.35091773327</v>
      </c>
      <c r="O78">
        <v>-435497.2895649001</v>
      </c>
      <c r="P78">
        <v>-677440.22821206646</v>
      </c>
    </row>
    <row r="79" spans="5:16">
      <c r="E79" s="4">
        <v>670</v>
      </c>
      <c r="F79" s="34">
        <v>983536.50373138895</v>
      </c>
      <c r="H79" s="4">
        <v>470</v>
      </c>
      <c r="I79">
        <v>1021267.1840167637</v>
      </c>
      <c r="J79">
        <v>789161.00583113544</v>
      </c>
      <c r="K79">
        <v>557054.82764550741</v>
      </c>
      <c r="L79">
        <v>324948.64945987938</v>
      </c>
      <c r="M79">
        <v>92842.471274251118</v>
      </c>
      <c r="N79">
        <v>-139263.70691137668</v>
      </c>
      <c r="O79">
        <v>-371369.88509700494</v>
      </c>
      <c r="P79">
        <v>-603476.0632826332</v>
      </c>
    </row>
    <row r="80" spans="5:16">
      <c r="E80" s="4">
        <v>680</v>
      </c>
      <c r="F80" s="34">
        <v>978569.81679913995</v>
      </c>
      <c r="H80" s="4">
        <v>480</v>
      </c>
      <c r="I80">
        <v>1025174.5351851908</v>
      </c>
      <c r="J80">
        <v>802310.50579710584</v>
      </c>
      <c r="K80">
        <v>579446.47640902083</v>
      </c>
      <c r="L80">
        <v>356582.44702093583</v>
      </c>
      <c r="M80">
        <v>133718.41763285082</v>
      </c>
      <c r="N80">
        <v>-89145.611755234189</v>
      </c>
      <c r="O80">
        <v>-312009.6411433192</v>
      </c>
      <c r="P80">
        <v>-534873.6705314042</v>
      </c>
    </row>
    <row r="81" spans="5:16">
      <c r="E81" s="4">
        <v>690</v>
      </c>
      <c r="F81" s="34">
        <v>973507.92983488471</v>
      </c>
      <c r="H81" s="4">
        <v>490</v>
      </c>
      <c r="I81">
        <v>1028012.4382673677</v>
      </c>
      <c r="J81">
        <v>813843.18029499939</v>
      </c>
      <c r="K81">
        <v>599673.92232263112</v>
      </c>
      <c r="L81">
        <v>385504.66435026284</v>
      </c>
      <c r="M81">
        <v>171335.40637789457</v>
      </c>
      <c r="N81">
        <v>-42833.851594473701</v>
      </c>
      <c r="O81">
        <v>-257003.10956684174</v>
      </c>
      <c r="P81">
        <v>-471172.36753921025</v>
      </c>
    </row>
    <row r="82" spans="5:16">
      <c r="E82" s="4">
        <v>700</v>
      </c>
      <c r="F82" s="34">
        <v>968364.49715112743</v>
      </c>
      <c r="H82" s="4">
        <v>500</v>
      </c>
      <c r="I82">
        <v>1029896.2158345418</v>
      </c>
      <c r="J82">
        <v>823916.97266763332</v>
      </c>
      <c r="K82">
        <v>617937.72950072493</v>
      </c>
      <c r="L82">
        <v>411958.48633381678</v>
      </c>
      <c r="M82">
        <v>205979.24316690839</v>
      </c>
      <c r="N82">
        <v>0</v>
      </c>
      <c r="O82">
        <v>-205979.24316690839</v>
      </c>
      <c r="P82">
        <v>-411958.48633381701</v>
      </c>
    </row>
    <row r="83" spans="5:16">
      <c r="E83" s="4">
        <v>710</v>
      </c>
      <c r="F83" s="34">
        <v>963151.88904773071</v>
      </c>
      <c r="H83" s="4">
        <v>510</v>
      </c>
      <c r="I83">
        <v>1030928.3204393294</v>
      </c>
      <c r="J83">
        <v>832672.87420099671</v>
      </c>
      <c r="K83">
        <v>634417.42796266428</v>
      </c>
      <c r="L83">
        <v>436161.98172433162</v>
      </c>
      <c r="M83">
        <v>237906.53548599919</v>
      </c>
      <c r="N83">
        <v>39651.089247666532</v>
      </c>
      <c r="O83">
        <v>-158604.3569906659</v>
      </c>
      <c r="P83">
        <v>-356859.80322899879</v>
      </c>
    </row>
    <row r="84" spans="5:16">
      <c r="E84" s="4">
        <v>720</v>
      </c>
      <c r="F84" s="34">
        <v>957881.31543231953</v>
      </c>
      <c r="H84" s="4">
        <v>520</v>
      </c>
      <c r="I84">
        <v>1031199.9256984818</v>
      </c>
      <c r="J84">
        <v>840236.97649505921</v>
      </c>
      <c r="K84">
        <v>649274.02729163668</v>
      </c>
      <c r="L84">
        <v>458311.07808821416</v>
      </c>
      <c r="M84">
        <v>267348.12888479163</v>
      </c>
      <c r="N84">
        <v>76385.179681368871</v>
      </c>
      <c r="O84">
        <v>-114577.76952205366</v>
      </c>
      <c r="P84">
        <v>-305540.71872547641</v>
      </c>
    </row>
    <row r="85" spans="5:16">
      <c r="E85" s="4">
        <v>730</v>
      </c>
      <c r="F85" s="34">
        <v>952562.93653546902</v>
      </c>
      <c r="H85" s="4">
        <v>530</v>
      </c>
      <c r="I85">
        <v>1030792.2985825787</v>
      </c>
      <c r="J85">
        <v>846722.24526426103</v>
      </c>
      <c r="K85">
        <v>662652.19194594352</v>
      </c>
      <c r="L85">
        <v>478582.13862762577</v>
      </c>
      <c r="M85">
        <v>294512.08530930826</v>
      </c>
      <c r="N85">
        <v>110442.03199099051</v>
      </c>
      <c r="O85">
        <v>-73628.021327327006</v>
      </c>
      <c r="P85">
        <v>-257698.07464564475</v>
      </c>
    </row>
    <row r="86" spans="5:16">
      <c r="E86" s="4">
        <v>740</v>
      </c>
      <c r="F86" s="34">
        <v>947205.96219397034</v>
      </c>
      <c r="H86" s="4">
        <v>540</v>
      </c>
      <c r="I86">
        <v>1029777.9861334859</v>
      </c>
      <c r="J86">
        <v>852230.05748978141</v>
      </c>
      <c r="K86">
        <v>674682.12884607702</v>
      </c>
      <c r="L86">
        <v>497134.20020237239</v>
      </c>
      <c r="M86">
        <v>319586.271558668</v>
      </c>
      <c r="N86">
        <v>142038.34291496361</v>
      </c>
      <c r="O86">
        <v>-35509.585728741018</v>
      </c>
      <c r="P86">
        <v>-213057.51437244541</v>
      </c>
    </row>
    <row r="87" spans="5:16">
      <c r="E87" s="4">
        <v>750</v>
      </c>
      <c r="F87" s="34">
        <v>941818.74099210929</v>
      </c>
      <c r="H87" s="4">
        <v>550</v>
      </c>
      <c r="I87">
        <v>1028221.8443116675</v>
      </c>
      <c r="J87">
        <v>856851.53692638956</v>
      </c>
      <c r="K87">
        <v>685481.2295411115</v>
      </c>
      <c r="L87">
        <v>514110.92215583357</v>
      </c>
      <c r="M87">
        <v>342740.61477055587</v>
      </c>
      <c r="N87">
        <v>171370.30738527793</v>
      </c>
      <c r="O87">
        <v>0</v>
      </c>
      <c r="P87">
        <v>-171370.30738527793</v>
      </c>
    </row>
    <row r="88" spans="5:16">
      <c r="E88" s="4">
        <v>760</v>
      </c>
      <c r="F88" s="34">
        <v>936408.84039215092</v>
      </c>
      <c r="H88" s="4">
        <v>560</v>
      </c>
      <c r="I88">
        <v>1026181.932150993</v>
      </c>
      <c r="J88">
        <v>860668.71728792961</v>
      </c>
      <c r="K88">
        <v>695155.50242486619</v>
      </c>
      <c r="L88">
        <v>529642.28756180289</v>
      </c>
      <c r="M88">
        <v>364129.07269873936</v>
      </c>
      <c r="N88">
        <v>198615.85783567606</v>
      </c>
      <c r="O88">
        <v>33102.642972612521</v>
      </c>
      <c r="P88">
        <v>-132410.57189045078</v>
      </c>
    </row>
    <row r="89" spans="5:16">
      <c r="E89" s="4">
        <v>770</v>
      </c>
      <c r="F89" s="34">
        <v>930983.11884777993</v>
      </c>
      <c r="H89" s="4">
        <v>570</v>
      </c>
      <c r="I89">
        <v>1023710.2906758615</v>
      </c>
      <c r="J89">
        <v>863755.55775775819</v>
      </c>
      <c r="K89">
        <v>703800.82483965484</v>
      </c>
      <c r="L89">
        <v>543846.09192155162</v>
      </c>
      <c r="M89">
        <v>383891.35900344816</v>
      </c>
      <c r="N89">
        <v>223936.6260853447</v>
      </c>
      <c r="O89">
        <v>63981.893167241476</v>
      </c>
      <c r="P89">
        <v>-95972.839750861982</v>
      </c>
    </row>
    <row r="90" spans="5:16">
      <c r="E90" s="4">
        <v>780</v>
      </c>
      <c r="F90" s="34">
        <v>925547.79077482293</v>
      </c>
      <c r="H90" s="4">
        <v>580</v>
      </c>
      <c r="I90">
        <v>1020853.6229612586</v>
      </c>
      <c r="J90">
        <v>866178.83160349214</v>
      </c>
      <c r="K90">
        <v>711504.04024572577</v>
      </c>
      <c r="L90">
        <v>556829.24888795917</v>
      </c>
      <c r="M90">
        <v>402154.4575301928</v>
      </c>
      <c r="N90">
        <v>247479.66617242619</v>
      </c>
      <c r="O90">
        <v>92804.874814659823</v>
      </c>
      <c r="P90">
        <v>-61869.916543106781</v>
      </c>
    </row>
    <row r="91" spans="5:16">
      <c r="E91" s="4">
        <v>790</v>
      </c>
      <c r="F91" s="34">
        <v>920108.48514976038</v>
      </c>
      <c r="H91" s="4">
        <v>590</v>
      </c>
      <c r="I91">
        <v>1017653.8891691741</v>
      </c>
      <c r="J91">
        <v>867998.90546782501</v>
      </c>
      <c r="K91">
        <v>718343.92176647589</v>
      </c>
      <c r="L91">
        <v>568688.93806512677</v>
      </c>
      <c r="M91">
        <v>419033.95436377754</v>
      </c>
      <c r="N91">
        <v>269378.97066242853</v>
      </c>
      <c r="O91">
        <v>119723.9869610793</v>
      </c>
      <c r="P91">
        <v>-29930.996740269708</v>
      </c>
    </row>
    <row r="92" spans="5:16">
      <c r="E92" s="4">
        <v>800</v>
      </c>
      <c r="F92" s="34">
        <v>914670.29841601639</v>
      </c>
      <c r="H92" s="4">
        <v>600</v>
      </c>
      <c r="I92">
        <v>1014148.8282774388</v>
      </c>
      <c r="J92">
        <v>869270.4242378046</v>
      </c>
      <c r="K92">
        <v>724392.02019817056</v>
      </c>
      <c r="L92">
        <v>579513.6161585364</v>
      </c>
      <c r="M92">
        <v>434635.21211890224</v>
      </c>
      <c r="N92">
        <v>289756.80807926832</v>
      </c>
      <c r="O92">
        <v>144878.40403963416</v>
      </c>
      <c r="P92">
        <v>0</v>
      </c>
    </row>
    <row r="93" spans="5:16">
      <c r="E93" s="4">
        <v>810</v>
      </c>
      <c r="F93" s="34">
        <v>909237.84229912935</v>
      </c>
      <c r="H93" s="4">
        <v>610</v>
      </c>
      <c r="I93">
        <v>1010372.4164511494</v>
      </c>
      <c r="J93">
        <v>870042.9141662675</v>
      </c>
      <c r="K93">
        <v>729713.41188138572</v>
      </c>
      <c r="L93">
        <v>589383.90959650395</v>
      </c>
      <c r="M93">
        <v>449054.40731162205</v>
      </c>
      <c r="N93">
        <v>308724.90502674016</v>
      </c>
      <c r="O93">
        <v>168395.40274185827</v>
      </c>
      <c r="P93">
        <v>28065.900456976378</v>
      </c>
    </row>
    <row r="94" spans="5:16">
      <c r="E94" s="4">
        <v>820</v>
      </c>
      <c r="F94" s="34">
        <v>903815.28706277837</v>
      </c>
      <c r="H94" s="4">
        <v>620</v>
      </c>
      <c r="I94">
        <v>1006355.2705299411</v>
      </c>
      <c r="J94">
        <v>870361.315052922</v>
      </c>
      <c r="K94">
        <v>734367.35957590293</v>
      </c>
      <c r="L94">
        <v>598373.40409888397</v>
      </c>
      <c r="M94">
        <v>462379.4486218649</v>
      </c>
      <c r="N94">
        <v>326385.49314484559</v>
      </c>
      <c r="O94">
        <v>190391.53766782652</v>
      </c>
      <c r="P94">
        <v>54397.582190807443</v>
      </c>
    </row>
    <row r="95" spans="5:16">
      <c r="E95" s="4">
        <v>830</v>
      </c>
      <c r="F95" s="34">
        <v>898406.40067728644</v>
      </c>
      <c r="H95" s="4">
        <v>630</v>
      </c>
      <c r="I95">
        <v>1002125.0038651584</v>
      </c>
      <c r="J95">
        <v>870266.45072500594</v>
      </c>
      <c r="K95">
        <v>738407.89758485358</v>
      </c>
      <c r="L95">
        <v>606549.34444470122</v>
      </c>
      <c r="M95">
        <v>474690.79130454874</v>
      </c>
      <c r="N95">
        <v>342832.23816439626</v>
      </c>
      <c r="O95">
        <v>210973.68502424378</v>
      </c>
      <c r="P95">
        <v>79115.131884091301</v>
      </c>
    </row>
    <row r="96" spans="5:16">
      <c r="E96" s="4">
        <v>840</v>
      </c>
      <c r="F96" s="34">
        <v>893014.58431913401</v>
      </c>
      <c r="H96" s="4">
        <v>640</v>
      </c>
      <c r="I96">
        <v>997706.5406985709</v>
      </c>
      <c r="J96">
        <v>869795.44573721569</v>
      </c>
      <c r="K96">
        <v>741884.35077586037</v>
      </c>
      <c r="L96">
        <v>613973.25581450516</v>
      </c>
      <c r="M96">
        <v>486062.16085314984</v>
      </c>
      <c r="N96">
        <v>358151.06589179463</v>
      </c>
      <c r="O96">
        <v>230239.97093043942</v>
      </c>
      <c r="P96">
        <v>102328.87596908421</v>
      </c>
    </row>
    <row r="97" spans="5:16">
      <c r="E97" s="4">
        <v>850</v>
      </c>
      <c r="F97" s="34">
        <v>887642.904573526</v>
      </c>
      <c r="H97" s="4">
        <v>650</v>
      </c>
      <c r="I97">
        <v>993122.39439471276</v>
      </c>
      <c r="J97">
        <v>868982.09509537369</v>
      </c>
      <c r="K97">
        <v>744841.79579603451</v>
      </c>
      <c r="L97">
        <v>620701.49649669544</v>
      </c>
      <c r="M97">
        <v>496561.19719735626</v>
      </c>
      <c r="N97">
        <v>372420.8978980172</v>
      </c>
      <c r="O97">
        <v>248280.59859867813</v>
      </c>
      <c r="P97">
        <v>124140.29929933907</v>
      </c>
    </row>
    <row r="98" spans="5:16">
      <c r="E98" s="4">
        <v>860</v>
      </c>
      <c r="F98" s="34">
        <v>882294.12267106166</v>
      </c>
      <c r="H98" s="4">
        <v>660</v>
      </c>
      <c r="I98">
        <v>988392.91409506625</v>
      </c>
      <c r="J98">
        <v>867857.19286396063</v>
      </c>
      <c r="K98">
        <v>747321.47163285501</v>
      </c>
      <c r="L98">
        <v>626785.75040174939</v>
      </c>
      <c r="M98">
        <v>506250.02917064377</v>
      </c>
      <c r="N98">
        <v>385714.30793953803</v>
      </c>
      <c r="O98">
        <v>265178.58670843253</v>
      </c>
      <c r="P98">
        <v>144642.86547732679</v>
      </c>
    </row>
    <row r="99" spans="5:16">
      <c r="E99" s="4">
        <v>870</v>
      </c>
      <c r="F99" s="34">
        <v>876970.72105350136</v>
      </c>
      <c r="H99" s="4">
        <v>670</v>
      </c>
      <c r="I99">
        <v>983536.50373138895</v>
      </c>
      <c r="J99">
        <v>866448.82471574738</v>
      </c>
      <c r="K99">
        <v>749361.14570010593</v>
      </c>
      <c r="L99">
        <v>632273.46668446437</v>
      </c>
      <c r="M99">
        <v>515185.7876688228</v>
      </c>
      <c r="N99">
        <v>398098.10865318123</v>
      </c>
      <c r="O99">
        <v>281010.42963753967</v>
      </c>
      <c r="P99">
        <v>163922.7506218981</v>
      </c>
    </row>
    <row r="100" spans="5:16">
      <c r="E100" s="4">
        <v>880</v>
      </c>
      <c r="F100" s="34">
        <v>871674.92753180722</v>
      </c>
      <c r="H100" s="4">
        <v>680</v>
      </c>
      <c r="I100">
        <v>978569.81679913995</v>
      </c>
      <c r="J100">
        <v>864782.62879923999</v>
      </c>
      <c r="K100">
        <v>750995.44079933991</v>
      </c>
      <c r="L100">
        <v>637208.25279943994</v>
      </c>
      <c r="M100">
        <v>523421.06479953998</v>
      </c>
      <c r="N100">
        <v>409633.87679964001</v>
      </c>
      <c r="O100">
        <v>295846.68879974005</v>
      </c>
      <c r="P100">
        <v>182059.50079984008</v>
      </c>
    </row>
    <row r="101" spans="5:16">
      <c r="E101" s="4">
        <v>890</v>
      </c>
      <c r="F101" s="34">
        <v>866408.7372715011</v>
      </c>
      <c r="H101" s="4">
        <v>690</v>
      </c>
      <c r="I101">
        <v>973507.92983488471</v>
      </c>
      <c r="J101">
        <v>862882.02871728421</v>
      </c>
      <c r="K101">
        <v>752256.12759968359</v>
      </c>
      <c r="L101">
        <v>641630.22648208309</v>
      </c>
      <c r="M101">
        <v>531004.32536448259</v>
      </c>
      <c r="N101">
        <v>420378.42424688209</v>
      </c>
      <c r="O101">
        <v>309752.52312928159</v>
      </c>
      <c r="P101">
        <v>199126.62201168109</v>
      </c>
    </row>
    <row r="102" spans="5:16">
      <c r="E102" s="4">
        <v>900</v>
      </c>
      <c r="F102" s="34">
        <v>861173.93281556782</v>
      </c>
      <c r="H102" s="4">
        <v>700</v>
      </c>
      <c r="I102">
        <v>968364.49715112743</v>
      </c>
      <c r="J102">
        <v>860768.44191211322</v>
      </c>
      <c r="K102">
        <v>753172.38667309913</v>
      </c>
      <c r="L102">
        <v>645576.33143408492</v>
      </c>
      <c r="M102">
        <v>537980.27619507082</v>
      </c>
      <c r="N102">
        <v>430384.22095605661</v>
      </c>
      <c r="O102">
        <v>322788.16571704252</v>
      </c>
      <c r="P102">
        <v>215192.11047802819</v>
      </c>
    </row>
    <row r="103" spans="5:16">
      <c r="H103" s="4">
        <v>710</v>
      </c>
      <c r="I103">
        <v>963151.88904773071</v>
      </c>
      <c r="J103">
        <v>858461.46632515127</v>
      </c>
      <c r="K103">
        <v>753771.04360257182</v>
      </c>
      <c r="L103">
        <v>649080.62087999238</v>
      </c>
      <c r="M103">
        <v>544390.19815741305</v>
      </c>
      <c r="N103">
        <v>439699.7754348336</v>
      </c>
      <c r="O103">
        <v>335009.35271225427</v>
      </c>
      <c r="P103">
        <v>230318.92998967483</v>
      </c>
    </row>
    <row r="104" spans="5:16">
      <c r="H104" s="4">
        <v>720</v>
      </c>
      <c r="I104">
        <v>957881.31543231953</v>
      </c>
      <c r="J104">
        <v>855979.04783313663</v>
      </c>
      <c r="K104">
        <v>754076.78023395373</v>
      </c>
      <c r="L104">
        <v>652174.51263477071</v>
      </c>
      <c r="M104">
        <v>550272.24503558781</v>
      </c>
      <c r="N104">
        <v>448369.97743640491</v>
      </c>
      <c r="O104">
        <v>346467.70983722201</v>
      </c>
      <c r="P104">
        <v>244565.4422380391</v>
      </c>
    </row>
    <row r="105" spans="5:16">
      <c r="H105" s="4">
        <v>730</v>
      </c>
      <c r="I105">
        <v>952562.93653546902</v>
      </c>
      <c r="J105">
        <v>853337.63064635778</v>
      </c>
      <c r="K105">
        <v>754112.3247572463</v>
      </c>
      <c r="L105">
        <v>654887.01886813494</v>
      </c>
      <c r="M105">
        <v>555661.71297902358</v>
      </c>
      <c r="N105">
        <v>456436.40708991222</v>
      </c>
      <c r="O105">
        <v>357211.10120080085</v>
      </c>
      <c r="P105">
        <v>257985.79531168961</v>
      </c>
    </row>
    <row r="106" spans="5:16">
      <c r="H106" s="4">
        <v>740</v>
      </c>
      <c r="I106">
        <v>947205.96219397034</v>
      </c>
      <c r="J106">
        <v>850552.29258234065</v>
      </c>
      <c r="K106">
        <v>753898.62297071109</v>
      </c>
      <c r="L106">
        <v>657244.95335908141</v>
      </c>
      <c r="M106">
        <v>560591.28374745185</v>
      </c>
      <c r="N106">
        <v>463937.61413582216</v>
      </c>
      <c r="O106">
        <v>367283.94452419248</v>
      </c>
      <c r="P106">
        <v>270630.27491256292</v>
      </c>
    </row>
    <row r="107" spans="5:16">
      <c r="H107" s="4">
        <v>750</v>
      </c>
      <c r="I107">
        <v>941818.74099210929</v>
      </c>
      <c r="J107">
        <v>847636.86689289834</v>
      </c>
      <c r="K107">
        <v>753454.9927936875</v>
      </c>
      <c r="L107">
        <v>659273.11869447655</v>
      </c>
      <c r="M107">
        <v>565091.2445952656</v>
      </c>
      <c r="N107">
        <v>470909.37049605465</v>
      </c>
      <c r="O107">
        <v>376727.49639684369</v>
      </c>
      <c r="P107">
        <v>282545.62229763274</v>
      </c>
    </row>
    <row r="108" spans="5:16">
      <c r="H108" s="4">
        <v>760</v>
      </c>
      <c r="I108">
        <v>936408.84039215092</v>
      </c>
      <c r="J108">
        <v>844604.05211841059</v>
      </c>
      <c r="K108">
        <v>752799.26384467038</v>
      </c>
      <c r="L108">
        <v>660994.47557093005</v>
      </c>
      <c r="M108">
        <v>569189.68729718984</v>
      </c>
      <c r="N108">
        <v>477384.89902344951</v>
      </c>
      <c r="O108">
        <v>385580.11074970919</v>
      </c>
      <c r="P108">
        <v>293775.32247596886</v>
      </c>
    </row>
    <row r="109" spans="5:16">
      <c r="H109" s="4">
        <v>770</v>
      </c>
      <c r="I109">
        <v>930983.11884777993</v>
      </c>
      <c r="J109">
        <v>841465.5112662625</v>
      </c>
      <c r="K109">
        <v>751947.90368474519</v>
      </c>
      <c r="L109">
        <v>662430.296103228</v>
      </c>
      <c r="M109">
        <v>572912.68852171069</v>
      </c>
      <c r="N109">
        <v>483395.08094019338</v>
      </c>
      <c r="O109">
        <v>393877.47335867607</v>
      </c>
      <c r="P109">
        <v>304359.86577715864</v>
      </c>
    </row>
    <row r="110" spans="5:16">
      <c r="H110" s="4">
        <v>780</v>
      </c>
      <c r="I110">
        <v>925547.79077482293</v>
      </c>
      <c r="J110">
        <v>838231.96145644342</v>
      </c>
      <c r="K110">
        <v>750916.1321380639</v>
      </c>
      <c r="L110">
        <v>663600.30281968438</v>
      </c>
      <c r="M110">
        <v>576284.47350130486</v>
      </c>
      <c r="N110">
        <v>488968.64418292535</v>
      </c>
      <c r="O110">
        <v>401652.81486454583</v>
      </c>
      <c r="P110">
        <v>314336.98554616631</v>
      </c>
    </row>
    <row r="111" spans="5:16">
      <c r="H111" s="4">
        <v>790</v>
      </c>
      <c r="I111">
        <v>920108.48514976038</v>
      </c>
      <c r="J111">
        <v>834913.25504330103</v>
      </c>
      <c r="K111">
        <v>749718.0249368418</v>
      </c>
      <c r="L111">
        <v>664522.79483038245</v>
      </c>
      <c r="M111">
        <v>579327.56472392322</v>
      </c>
      <c r="N111">
        <v>494132.33461746387</v>
      </c>
      <c r="O111">
        <v>408937.10451100452</v>
      </c>
      <c r="P111">
        <v>323741.87440454529</v>
      </c>
    </row>
    <row r="112" spans="5:16">
      <c r="H112" s="4">
        <v>800</v>
      </c>
      <c r="I112">
        <v>914670.29841601639</v>
      </c>
      <c r="J112">
        <v>831518.45310546947</v>
      </c>
      <c r="K112">
        <v>748366.60779492243</v>
      </c>
      <c r="L112">
        <v>665214.7624843755</v>
      </c>
      <c r="M112">
        <v>582062.91717382858</v>
      </c>
      <c r="N112">
        <v>498911.07186328166</v>
      </c>
      <c r="O112">
        <v>415759.22655273473</v>
      </c>
      <c r="P112">
        <v>332607.38124218781</v>
      </c>
    </row>
    <row r="113" spans="8:16">
      <c r="H113" s="4">
        <v>810</v>
      </c>
      <c r="I113">
        <v>909237.84229912935</v>
      </c>
      <c r="J113">
        <v>828055.89209385007</v>
      </c>
      <c r="K113">
        <v>746873.94188857055</v>
      </c>
      <c r="L113">
        <v>665691.99168329115</v>
      </c>
      <c r="M113">
        <v>584510.04147801176</v>
      </c>
      <c r="N113">
        <v>503328.09127273236</v>
      </c>
      <c r="O113">
        <v>422146.14106745296</v>
      </c>
      <c r="P113">
        <v>340964.19086217356</v>
      </c>
    </row>
    <row r="114" spans="8:16">
      <c r="H114" s="4">
        <v>820</v>
      </c>
      <c r="I114">
        <v>903815.28706277837</v>
      </c>
      <c r="J114">
        <v>824533.2443379733</v>
      </c>
      <c r="K114">
        <v>745251.20161316823</v>
      </c>
      <c r="L114">
        <v>665969.15888836305</v>
      </c>
      <c r="M114">
        <v>586687.11616355798</v>
      </c>
      <c r="N114">
        <v>507405.07343875279</v>
      </c>
      <c r="O114">
        <v>428123.03071394772</v>
      </c>
      <c r="P114">
        <v>348840.98798914254</v>
      </c>
    </row>
    <row r="115" spans="8:16">
      <c r="H115" s="4">
        <v>830</v>
      </c>
      <c r="I115">
        <v>898406.40067728644</v>
      </c>
      <c r="J115">
        <v>820957.57303269277</v>
      </c>
      <c r="K115">
        <v>743508.74538809911</v>
      </c>
      <c r="L115">
        <v>666059.91774350544</v>
      </c>
      <c r="M115">
        <v>588611.09009891178</v>
      </c>
      <c r="N115">
        <v>511162.26245431812</v>
      </c>
      <c r="O115">
        <v>433713.43480972445</v>
      </c>
      <c r="P115">
        <v>356264.60716513079</v>
      </c>
    </row>
    <row r="116" spans="8:16">
      <c r="H116" s="4">
        <v>840</v>
      </c>
      <c r="I116">
        <v>893014.58431913401</v>
      </c>
      <c r="J116">
        <v>817335.38225819054</v>
      </c>
      <c r="K116">
        <v>741656.18019724695</v>
      </c>
      <c r="L116">
        <v>665976.97813630337</v>
      </c>
      <c r="M116">
        <v>590297.77607535978</v>
      </c>
      <c r="N116">
        <v>514618.57401441631</v>
      </c>
      <c r="O116">
        <v>438939.37195347273</v>
      </c>
      <c r="P116">
        <v>363260.16989252914</v>
      </c>
    </row>
    <row r="117" spans="8:16">
      <c r="H117" s="4">
        <v>850</v>
      </c>
      <c r="I117">
        <v>887642.904573526</v>
      </c>
      <c r="J117">
        <v>813672.66252573219</v>
      </c>
      <c r="K117">
        <v>739702.42047793837</v>
      </c>
      <c r="L117">
        <v>665732.17843014456</v>
      </c>
      <c r="M117">
        <v>591761.93638235074</v>
      </c>
      <c r="N117">
        <v>517791.69433455693</v>
      </c>
      <c r="O117">
        <v>443821.45228676312</v>
      </c>
      <c r="P117">
        <v>369851.21023896919</v>
      </c>
    </row>
    <row r="118" spans="8:16">
      <c r="H118" s="4">
        <v>860</v>
      </c>
      <c r="I118">
        <v>882294.12267106166</v>
      </c>
      <c r="J118">
        <v>809974.93228818779</v>
      </c>
      <c r="K118">
        <v>737655.74190531392</v>
      </c>
      <c r="L118">
        <v>665336.55152243993</v>
      </c>
      <c r="M118">
        <v>593017.36113956606</v>
      </c>
      <c r="N118">
        <v>520698.17075669218</v>
      </c>
      <c r="O118">
        <v>448378.98037381819</v>
      </c>
      <c r="P118">
        <v>376059.78999094432</v>
      </c>
    </row>
    <row r="119" spans="8:16">
      <c r="H119" s="4">
        <v>870</v>
      </c>
      <c r="I119">
        <v>876970.72105350136</v>
      </c>
      <c r="J119">
        <v>806247.27580725122</v>
      </c>
      <c r="K119">
        <v>735523.83056100109</v>
      </c>
      <c r="L119">
        <v>664800.38531475095</v>
      </c>
      <c r="M119">
        <v>594076.94006850081</v>
      </c>
      <c r="N119">
        <v>523353.4948222508</v>
      </c>
      <c r="O119">
        <v>452630.04957600066</v>
      </c>
      <c r="P119">
        <v>381906.60432975052</v>
      </c>
    </row>
    <row r="120" spans="8:16">
      <c r="H120" s="4">
        <v>880</v>
      </c>
      <c r="I120">
        <v>871674.92753180722</v>
      </c>
      <c r="J120">
        <v>802494.37772769562</v>
      </c>
      <c r="K120">
        <v>733313.82792358391</v>
      </c>
      <c r="L120">
        <v>664133.2781194722</v>
      </c>
      <c r="M120">
        <v>594952.72831536049</v>
      </c>
      <c r="N120">
        <v>525772.17851124879</v>
      </c>
      <c r="O120">
        <v>456591.62870713708</v>
      </c>
      <c r="P120">
        <v>387411.07890302548</v>
      </c>
    </row>
    <row r="121" spans="8:16">
      <c r="H121" s="4">
        <v>890</v>
      </c>
      <c r="I121">
        <v>866408.7372715011</v>
      </c>
      <c r="J121">
        <v>798720.55467216508</v>
      </c>
      <c r="K121">
        <v>731032.37207282905</v>
      </c>
      <c r="L121">
        <v>663344.18947349302</v>
      </c>
      <c r="M121">
        <v>595656.006874157</v>
      </c>
      <c r="N121">
        <v>527967.82427482097</v>
      </c>
      <c r="O121">
        <v>460279.64167548495</v>
      </c>
      <c r="P121">
        <v>392591.45907614892</v>
      </c>
    </row>
    <row r="122" spans="8:16">
      <c r="H122" s="4">
        <v>900</v>
      </c>
      <c r="I122">
        <v>861173.93281556782</v>
      </c>
      <c r="J122">
        <v>794929.78413744725</v>
      </c>
      <c r="K122">
        <v>728685.63545932667</v>
      </c>
      <c r="L122">
        <v>662441.48678120598</v>
      </c>
      <c r="M122">
        <v>596197.33810308541</v>
      </c>
      <c r="N122">
        <v>529953.18942496483</v>
      </c>
      <c r="O122">
        <v>463709.04074684426</v>
      </c>
      <c r="P122">
        <v>397464.89206872368</v>
      </c>
    </row>
    <row r="123" spans="8:16">
      <c r="H123" s="4"/>
    </row>
  </sheetData>
  <mergeCells count="8">
    <mergeCell ref="H53:P53"/>
    <mergeCell ref="H54:P54"/>
    <mergeCell ref="I56:P56"/>
    <mergeCell ref="A1:D1"/>
    <mergeCell ref="C16:D16"/>
    <mergeCell ref="A16:B16"/>
    <mergeCell ref="A20:D20"/>
    <mergeCell ref="D34:E34"/>
  </mergeCells>
  <conditionalFormatting sqref="F38:F102">
    <cfRule type="cellIs" dxfId="13" priority="13" operator="equal">
      <formula>MAX($F$38:$F$102)</formula>
    </cfRule>
    <cfRule type="cellIs" dxfId="12" priority="14" operator="equal">
      <formula>"max=$F$38:$F$102"</formula>
    </cfRule>
    <cfRule type="cellIs" dxfId="11" priority="15" operator="equal">
      <formula>"Max"</formula>
    </cfRule>
  </conditionalFormatting>
  <conditionalFormatting sqref="I58:I122">
    <cfRule type="cellIs" dxfId="10" priority="12" operator="equal">
      <formula>MAX($I$58:$I$122)</formula>
    </cfRule>
  </conditionalFormatting>
  <conditionalFormatting sqref="J58:J122">
    <cfRule type="cellIs" dxfId="9" priority="11" operator="equal">
      <formula>MAX($J$58:$J$122)</formula>
    </cfRule>
  </conditionalFormatting>
  <conditionalFormatting sqref="K58:K122">
    <cfRule type="cellIs" dxfId="8" priority="9" operator="equal">
      <formula>MAX($K$58:$K$122)</formula>
    </cfRule>
    <cfRule type="cellIs" dxfId="7" priority="10" operator="equal">
      <formula>MAX($K$58:$K$122)</formula>
    </cfRule>
  </conditionalFormatting>
  <conditionalFormatting sqref="L58:L122">
    <cfRule type="cellIs" dxfId="6" priority="6" operator="equal">
      <formula>MAX($L$58:$L$122)</formula>
    </cfRule>
    <cfRule type="cellIs" dxfId="5" priority="7" operator="equal">
      <formula>MAX($L$58:$L$122)</formula>
    </cfRule>
  </conditionalFormatting>
  <conditionalFormatting sqref="M58:M122">
    <cfRule type="cellIs" dxfId="4" priority="4" operator="equal">
      <formula>MAX($M$58:$M$122)</formula>
    </cfRule>
    <cfRule type="cellIs" dxfId="3" priority="5" operator="equal">
      <formula>MAX($M$58:$M$122)</formula>
    </cfRule>
  </conditionalFormatting>
  <conditionalFormatting sqref="N58:N122">
    <cfRule type="cellIs" dxfId="2" priority="3" operator="equal">
      <formula>MAX($N$58:$N$122)</formula>
    </cfRule>
  </conditionalFormatting>
  <conditionalFormatting sqref="O58:O122">
    <cfRule type="cellIs" dxfId="1" priority="2" operator="equal">
      <formula>MAX($O$58:$O$122)</formula>
    </cfRule>
  </conditionalFormatting>
  <conditionalFormatting sqref="P58:P122">
    <cfRule type="cellIs" dxfId="0" priority="1" operator="equal">
      <formula>MAX($P$58:$P$122)</formula>
    </cfRule>
  </conditionalFormatting>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73E56-8FD8-43BE-B6C7-31EEC24DB1E6}">
  <dimension ref="A1:H16"/>
  <sheetViews>
    <sheetView workbookViewId="0">
      <selection activeCell="E12" sqref="E12"/>
    </sheetView>
  </sheetViews>
  <sheetFormatPr defaultRowHeight="14.5"/>
  <cols>
    <col min="1" max="1" width="4.81640625" bestFit="1" customWidth="1"/>
    <col min="2" max="2" width="11.81640625" bestFit="1" customWidth="1"/>
    <col min="3" max="3" width="22.54296875" bestFit="1" customWidth="1"/>
    <col min="4" max="4" width="16.1796875" bestFit="1" customWidth="1"/>
    <col min="6" max="6" width="10.6328125" bestFit="1" customWidth="1"/>
  </cols>
  <sheetData>
    <row r="1" spans="1:8">
      <c r="D1" s="120" t="s">
        <v>116</v>
      </c>
      <c r="E1" s="120"/>
      <c r="F1" s="120" t="s">
        <v>117</v>
      </c>
      <c r="G1" s="120"/>
    </row>
    <row r="2" spans="1:8">
      <c r="A2" t="s">
        <v>109</v>
      </c>
      <c r="B2" t="s">
        <v>111</v>
      </c>
      <c r="C2" t="s">
        <v>110</v>
      </c>
      <c r="D2" t="s">
        <v>78</v>
      </c>
      <c r="E2" t="s">
        <v>77</v>
      </c>
      <c r="F2" t="s">
        <v>78</v>
      </c>
      <c r="G2" t="s">
        <v>77</v>
      </c>
    </row>
    <row r="3" spans="1:8">
      <c r="A3">
        <v>2017</v>
      </c>
      <c r="B3">
        <v>1</v>
      </c>
      <c r="C3" s="1">
        <v>218.6</v>
      </c>
      <c r="D3" s="44">
        <f>$C$11*EXP($C$12*B3)</f>
        <v>214.07807824032759</v>
      </c>
      <c r="E3">
        <f>$E$11*B3*(EXP($E$12))</f>
        <v>985.93270573812219</v>
      </c>
      <c r="F3" s="45">
        <f>ABS(C3-D3)/D3</f>
        <v>2.1122768836685957E-2</v>
      </c>
      <c r="G3" s="45">
        <f>ABS(C3-E3)/E3</f>
        <v>0.77828101377736092</v>
      </c>
    </row>
    <row r="4" spans="1:8">
      <c r="A4">
        <v>2018</v>
      </c>
      <c r="B4">
        <v>2</v>
      </c>
      <c r="C4" s="1">
        <v>435</v>
      </c>
      <c r="D4" s="44">
        <f t="shared" ref="D4:D9" si="0">$C$11*EXP($C$12*B4)</f>
        <v>442.41165733248204</v>
      </c>
      <c r="E4">
        <f t="shared" ref="E4:E9" si="1">$E$11*B4*(EXP($E$12))</f>
        <v>1971.8654114762444</v>
      </c>
      <c r="F4" s="45">
        <f t="shared" ref="F4:F7" si="2">ABS(C4-D4)/D4</f>
        <v>1.6752852710008981E-2</v>
      </c>
      <c r="G4" s="45">
        <f t="shared" ref="G4:G7" si="3">ABS(C4-E4)/E4</f>
        <v>0.7793967085845197</v>
      </c>
    </row>
    <row r="5" spans="1:8">
      <c r="A5">
        <v>2019</v>
      </c>
      <c r="B5">
        <v>3</v>
      </c>
      <c r="C5" s="1">
        <v>915</v>
      </c>
      <c r="D5" s="44">
        <f t="shared" si="0"/>
        <v>914.28359294194479</v>
      </c>
      <c r="E5">
        <f t="shared" si="1"/>
        <v>2957.7981172143664</v>
      </c>
      <c r="F5" s="45">
        <f t="shared" si="2"/>
        <v>7.8357203780720264E-4</v>
      </c>
      <c r="G5" s="45">
        <f t="shared" si="3"/>
        <v>0.69064825801507357</v>
      </c>
    </row>
    <row r="6" spans="1:8">
      <c r="A6">
        <v>2020</v>
      </c>
      <c r="B6">
        <v>4</v>
      </c>
      <c r="C6" s="1">
        <v>1825.9</v>
      </c>
      <c r="D6" s="44">
        <f t="shared" si="0"/>
        <v>1889.449508096086</v>
      </c>
      <c r="E6">
        <f t="shared" si="1"/>
        <v>3943.7308229524888</v>
      </c>
      <c r="F6" s="45">
        <f t="shared" si="2"/>
        <v>3.3633874747000733E-2</v>
      </c>
      <c r="G6" s="45">
        <f t="shared" si="3"/>
        <v>0.53701201172928092</v>
      </c>
    </row>
    <row r="7" spans="1:8">
      <c r="A7">
        <v>2021</v>
      </c>
      <c r="B7">
        <v>5</v>
      </c>
      <c r="C7" s="1">
        <v>4021.8</v>
      </c>
      <c r="D7" s="44">
        <f t="shared" si="0"/>
        <v>3904.7178262896268</v>
      </c>
      <c r="E7">
        <f t="shared" si="1"/>
        <v>4929.6635286906112</v>
      </c>
      <c r="F7" s="45">
        <f t="shared" si="2"/>
        <v>2.9984797601015932E-2</v>
      </c>
      <c r="G7" s="45">
        <f t="shared" si="3"/>
        <v>0.18416338628526083</v>
      </c>
    </row>
    <row r="8" spans="1:8">
      <c r="B8">
        <v>6</v>
      </c>
      <c r="C8" s="1">
        <v>3582.1</v>
      </c>
      <c r="D8" s="44">
        <f t="shared" si="0"/>
        <v>8069.4515718006751</v>
      </c>
      <c r="E8">
        <f t="shared" si="1"/>
        <v>5915.5962344287327</v>
      </c>
      <c r="F8" s="46">
        <f>AVERAGE(F3:F7)</f>
        <v>2.0455573186503762E-2</v>
      </c>
      <c r="G8" s="46">
        <f>AVERAGE(G3:G7)</f>
        <v>0.59390027567829917</v>
      </c>
    </row>
    <row r="9" spans="1:8">
      <c r="B9">
        <v>7</v>
      </c>
      <c r="D9" s="44">
        <f t="shared" si="0"/>
        <v>16676.24949265836</v>
      </c>
      <c r="E9">
        <f t="shared" si="1"/>
        <v>6901.5289401668551</v>
      </c>
    </row>
    <row r="10" spans="1:8">
      <c r="B10" s="120" t="s">
        <v>112</v>
      </c>
      <c r="C10" s="120"/>
      <c r="D10" s="120" t="s">
        <v>115</v>
      </c>
      <c r="E10" s="120"/>
    </row>
    <row r="11" spans="1:8">
      <c r="B11" t="s">
        <v>113</v>
      </c>
      <c r="C11">
        <v>103.59</v>
      </c>
      <c r="D11" t="s">
        <v>113</v>
      </c>
      <c r="E11">
        <v>170.97</v>
      </c>
    </row>
    <row r="12" spans="1:8">
      <c r="B12" t="s">
        <v>114</v>
      </c>
      <c r="C12">
        <v>0.72589999999999999</v>
      </c>
      <c r="D12" t="s">
        <v>114</v>
      </c>
      <c r="E12">
        <v>1.7521</v>
      </c>
    </row>
    <row r="13" spans="1:8">
      <c r="B13" t="s">
        <v>118</v>
      </c>
      <c r="C13">
        <v>0.6099</v>
      </c>
      <c r="D13" t="s">
        <v>118</v>
      </c>
      <c r="E13">
        <v>1.7209000000000001</v>
      </c>
    </row>
    <row r="15" spans="1:8">
      <c r="F15">
        <v>2023</v>
      </c>
      <c r="G15">
        <v>7</v>
      </c>
      <c r="H15">
        <f>C11*EXP(C12*B9)</f>
        <v>16676.24949265836</v>
      </c>
    </row>
    <row r="16" spans="1:8">
      <c r="H16" s="1"/>
    </row>
  </sheetData>
  <mergeCells count="4">
    <mergeCell ref="B10:C10"/>
    <mergeCell ref="D10:E10"/>
    <mergeCell ref="D1:E1"/>
    <mergeCell ref="F1:G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546FA-15F7-421A-85C9-872542DE7146}">
  <dimension ref="A1:I23"/>
  <sheetViews>
    <sheetView workbookViewId="0">
      <selection activeCell="E9" sqref="E9"/>
    </sheetView>
  </sheetViews>
  <sheetFormatPr defaultRowHeight="14.5"/>
  <cols>
    <col min="1" max="1" width="22.7265625" bestFit="1" customWidth="1"/>
    <col min="2" max="2" width="11.453125" bestFit="1" customWidth="1"/>
    <col min="3" max="3" width="26.81640625" bestFit="1" customWidth="1"/>
    <col min="4" max="4" width="9.90625" bestFit="1" customWidth="1"/>
    <col min="5" max="5" width="20.453125" bestFit="1" customWidth="1"/>
    <col min="7" max="7" width="14.26953125" bestFit="1" customWidth="1"/>
    <col min="8" max="8" width="11.08984375" bestFit="1" customWidth="1"/>
    <col min="9" max="9" width="13.6328125" bestFit="1" customWidth="1"/>
  </cols>
  <sheetData>
    <row r="1" spans="1:9">
      <c r="A1" s="127" t="s">
        <v>119</v>
      </c>
      <c r="B1" s="120"/>
      <c r="C1" s="120"/>
      <c r="D1" s="120"/>
      <c r="E1" s="120"/>
    </row>
    <row r="2" spans="1:9">
      <c r="D2" s="128" t="s">
        <v>132</v>
      </c>
      <c r="E2" s="128"/>
    </row>
    <row r="3" spans="1:9">
      <c r="D3" s="51" t="s">
        <v>133</v>
      </c>
      <c r="E3" s="51" t="s">
        <v>134</v>
      </c>
      <c r="F3" s="36"/>
    </row>
    <row r="4" spans="1:9">
      <c r="A4" t="s">
        <v>121</v>
      </c>
      <c r="B4" s="48">
        <v>9.3000000000000007</v>
      </c>
      <c r="C4" t="s">
        <v>131</v>
      </c>
      <c r="D4" s="10">
        <v>1</v>
      </c>
      <c r="E4" s="49">
        <f>B8</f>
        <v>1.2</v>
      </c>
      <c r="G4" t="s">
        <v>138</v>
      </c>
      <c r="H4" t="s">
        <v>139</v>
      </c>
    </row>
    <row r="5" spans="1:9">
      <c r="A5" t="s">
        <v>122</v>
      </c>
      <c r="B5">
        <v>20</v>
      </c>
      <c r="C5" t="s">
        <v>123</v>
      </c>
      <c r="D5" s="10">
        <v>2</v>
      </c>
      <c r="E5" s="50">
        <f>IF(D5&gt;$B$10,E4*(1+$B$10),E4*(1-$B$12))</f>
        <v>1.32</v>
      </c>
      <c r="G5">
        <v>1</v>
      </c>
      <c r="H5" s="34">
        <v>30000</v>
      </c>
    </row>
    <row r="6" spans="1:9">
      <c r="D6" s="10">
        <v>3</v>
      </c>
      <c r="E6" s="50">
        <f>E5*(1+$B$10)</f>
        <v>1.4520000000000002</v>
      </c>
      <c r="G6">
        <v>2</v>
      </c>
      <c r="H6" s="34">
        <v>65000</v>
      </c>
    </row>
    <row r="7" spans="1:9">
      <c r="A7" t="s">
        <v>120</v>
      </c>
      <c r="B7" s="47">
        <v>0.12</v>
      </c>
      <c r="C7" t="s">
        <v>124</v>
      </c>
      <c r="D7" s="10">
        <v>4</v>
      </c>
      <c r="E7" s="50">
        <f t="shared" ref="E7:E11" si="0">E6*(1+$B$10)</f>
        <v>1.5972000000000004</v>
      </c>
      <c r="G7">
        <v>3</v>
      </c>
      <c r="H7" s="34">
        <v>80000</v>
      </c>
    </row>
    <row r="8" spans="1:9">
      <c r="A8" t="s">
        <v>126</v>
      </c>
      <c r="B8">
        <v>1.2</v>
      </c>
      <c r="C8" t="s">
        <v>127</v>
      </c>
      <c r="D8" s="10">
        <v>5</v>
      </c>
      <c r="E8" s="50">
        <f t="shared" si="0"/>
        <v>1.7569200000000005</v>
      </c>
      <c r="G8">
        <v>4</v>
      </c>
      <c r="H8" s="34">
        <v>75000</v>
      </c>
    </row>
    <row r="9" spans="1:9">
      <c r="A9" t="s">
        <v>125</v>
      </c>
      <c r="B9">
        <v>8</v>
      </c>
      <c r="C9" t="s">
        <v>123</v>
      </c>
      <c r="D9" s="10">
        <v>6</v>
      </c>
      <c r="E9" s="50">
        <f t="shared" si="0"/>
        <v>1.9326120000000007</v>
      </c>
      <c r="G9">
        <v>5</v>
      </c>
      <c r="H9" s="34">
        <v>55000</v>
      </c>
    </row>
    <row r="10" spans="1:9">
      <c r="A10" t="s">
        <v>129</v>
      </c>
      <c r="B10" s="8">
        <v>0.1</v>
      </c>
      <c r="C10" t="s">
        <v>124</v>
      </c>
      <c r="D10" s="10">
        <v>7</v>
      </c>
      <c r="E10" s="50">
        <f t="shared" si="0"/>
        <v>2.1258732000000009</v>
      </c>
    </row>
    <row r="11" spans="1:9">
      <c r="A11" t="s">
        <v>128</v>
      </c>
      <c r="B11">
        <v>12</v>
      </c>
      <c r="C11" t="s">
        <v>123</v>
      </c>
      <c r="D11" s="10">
        <v>8</v>
      </c>
      <c r="E11" s="50">
        <f t="shared" si="0"/>
        <v>2.3384605200000013</v>
      </c>
      <c r="G11" t="s">
        <v>140</v>
      </c>
      <c r="I11" s="8">
        <v>0.15</v>
      </c>
    </row>
    <row r="12" spans="1:9">
      <c r="A12" t="s">
        <v>130</v>
      </c>
      <c r="B12" s="8">
        <v>0.05</v>
      </c>
      <c r="C12" t="s">
        <v>124</v>
      </c>
      <c r="D12" s="10">
        <v>9</v>
      </c>
      <c r="E12" s="50">
        <f>E11*(1-$B$12)</f>
        <v>2.221537494000001</v>
      </c>
      <c r="G12" t="s">
        <v>141</v>
      </c>
      <c r="I12" s="34">
        <v>1500000</v>
      </c>
    </row>
    <row r="13" spans="1:9">
      <c r="D13" s="10">
        <v>10</v>
      </c>
      <c r="E13" s="50">
        <f t="shared" ref="E13:E23" si="1">E12*(1-$B$12)</f>
        <v>2.1104606193000008</v>
      </c>
    </row>
    <row r="14" spans="1:9">
      <c r="A14" t="s">
        <v>135</v>
      </c>
      <c r="B14" s="48">
        <f>NPV(B7,E4:E23)</f>
        <v>12.600290735832388</v>
      </c>
      <c r="D14" s="10">
        <v>11</v>
      </c>
      <c r="E14" s="50">
        <f t="shared" si="1"/>
        <v>2.0049375883350007</v>
      </c>
      <c r="G14" s="48">
        <f>NPV(I11,H5:H9,)</f>
        <v>198063.80735147279</v>
      </c>
    </row>
    <row r="15" spans="1:9">
      <c r="A15" t="s">
        <v>136</v>
      </c>
      <c r="B15" s="48">
        <f>B4</f>
        <v>9.3000000000000007</v>
      </c>
      <c r="D15" s="10">
        <v>12</v>
      </c>
      <c r="E15" s="50">
        <f t="shared" si="1"/>
        <v>1.9046907089182505</v>
      </c>
      <c r="G15" s="48">
        <f>G14-I12</f>
        <v>-1301936.1926485272</v>
      </c>
    </row>
    <row r="16" spans="1:9">
      <c r="A16" t="s">
        <v>137</v>
      </c>
      <c r="B16" s="48">
        <f>B14-B15</f>
        <v>3.3002907358323874</v>
      </c>
      <c r="D16" s="10">
        <v>13</v>
      </c>
      <c r="E16" s="50">
        <f t="shared" si="1"/>
        <v>1.809456173472338</v>
      </c>
    </row>
    <row r="17" spans="4:7">
      <c r="D17" s="10">
        <v>14</v>
      </c>
      <c r="E17" s="50">
        <f t="shared" si="1"/>
        <v>1.7189833647987209</v>
      </c>
      <c r="G17" s="1">
        <f>NPV(I11,H5,H6,H7,H8,H9)-I12</f>
        <v>-1301936.1926485272</v>
      </c>
    </row>
    <row r="18" spans="4:7">
      <c r="D18" s="10">
        <v>15</v>
      </c>
      <c r="E18" s="50">
        <f t="shared" si="1"/>
        <v>1.6330341965587849</v>
      </c>
    </row>
    <row r="19" spans="4:7">
      <c r="D19" s="10">
        <v>16</v>
      </c>
      <c r="E19" s="50">
        <f t="shared" si="1"/>
        <v>1.5513824867308457</v>
      </c>
    </row>
    <row r="20" spans="4:7">
      <c r="D20" s="10">
        <v>17</v>
      </c>
      <c r="E20" s="50">
        <f t="shared" si="1"/>
        <v>1.4738133623943033</v>
      </c>
    </row>
    <row r="21" spans="4:7">
      <c r="D21" s="10">
        <v>18</v>
      </c>
      <c r="E21" s="50">
        <f t="shared" si="1"/>
        <v>1.4001226942745881</v>
      </c>
    </row>
    <row r="22" spans="4:7">
      <c r="D22" s="10">
        <v>19</v>
      </c>
      <c r="E22" s="50">
        <f t="shared" si="1"/>
        <v>1.3301165595608586</v>
      </c>
    </row>
    <row r="23" spans="4:7">
      <c r="D23" s="10">
        <v>20</v>
      </c>
      <c r="E23" s="50">
        <f t="shared" si="1"/>
        <v>1.2636107315828156</v>
      </c>
    </row>
  </sheetData>
  <mergeCells count="2">
    <mergeCell ref="A1:E1"/>
    <mergeCell ref="D2:E2"/>
  </mergeCells>
  <phoneticPr fontId="1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C9A2F-D8CB-4B87-87DB-C0BC8D3A9A60}">
  <dimension ref="A1:I22"/>
  <sheetViews>
    <sheetView tabSelected="1" workbookViewId="0">
      <selection activeCell="A22" sqref="A22"/>
    </sheetView>
  </sheetViews>
  <sheetFormatPr defaultRowHeight="14.5"/>
  <cols>
    <col min="1" max="1" width="19.453125" bestFit="1" customWidth="1"/>
    <col min="4" max="4" width="19.453125" bestFit="1" customWidth="1"/>
    <col min="5" max="5" width="18.1796875" bestFit="1" customWidth="1"/>
    <col min="6" max="6" width="15.81640625" bestFit="1" customWidth="1"/>
    <col min="7" max="7" width="18.26953125" bestFit="1" customWidth="1"/>
  </cols>
  <sheetData>
    <row r="1" spans="1:9">
      <c r="A1" s="120" t="s">
        <v>142</v>
      </c>
      <c r="B1" s="120"/>
      <c r="C1" s="120"/>
      <c r="D1" s="120"/>
      <c r="E1" s="120"/>
      <c r="F1" s="120"/>
    </row>
    <row r="3" spans="1:9">
      <c r="A3" t="s">
        <v>143</v>
      </c>
      <c r="B3" s="29">
        <v>40000</v>
      </c>
      <c r="E3" t="s">
        <v>149</v>
      </c>
      <c r="F3" t="s">
        <v>150</v>
      </c>
    </row>
    <row r="4" spans="1:9">
      <c r="D4" t="s">
        <v>148</v>
      </c>
      <c r="E4" s="52">
        <v>45</v>
      </c>
      <c r="F4" s="52">
        <v>44</v>
      </c>
      <c r="G4" t="s">
        <v>151</v>
      </c>
    </row>
    <row r="5" spans="1:9">
      <c r="A5" t="s">
        <v>146</v>
      </c>
      <c r="E5">
        <v>3000</v>
      </c>
      <c r="F5">
        <v>7000</v>
      </c>
      <c r="G5" t="s">
        <v>159</v>
      </c>
    </row>
    <row r="6" spans="1:9">
      <c r="A6" t="s">
        <v>144</v>
      </c>
      <c r="B6">
        <v>3000</v>
      </c>
      <c r="D6" t="s">
        <v>152</v>
      </c>
    </row>
    <row r="7" spans="1:9">
      <c r="A7" t="s">
        <v>145</v>
      </c>
      <c r="B7" s="29">
        <v>200</v>
      </c>
      <c r="D7" t="s">
        <v>160</v>
      </c>
      <c r="E7" s="53">
        <f>SUMPRODUCT(E4:F4,E5:F5)</f>
        <v>443000</v>
      </c>
    </row>
    <row r="9" spans="1:9">
      <c r="A9" t="s">
        <v>147</v>
      </c>
    </row>
    <row r="10" spans="1:9">
      <c r="A10" t="s">
        <v>144</v>
      </c>
      <c r="B10">
        <v>7000</v>
      </c>
    </row>
    <row r="11" spans="1:9">
      <c r="A11" t="s">
        <v>145</v>
      </c>
      <c r="B11" s="29">
        <v>500</v>
      </c>
    </row>
    <row r="16" spans="1:9">
      <c r="D16" s="10" t="s">
        <v>153</v>
      </c>
      <c r="E16" s="10"/>
      <c r="F16" s="10"/>
      <c r="G16" s="10" t="s">
        <v>155</v>
      </c>
      <c r="H16" s="10" t="s">
        <v>156</v>
      </c>
      <c r="I16" s="10" t="s">
        <v>157</v>
      </c>
    </row>
    <row r="17" spans="1:9">
      <c r="D17" s="10" t="s">
        <v>154</v>
      </c>
      <c r="E17" s="10">
        <v>400</v>
      </c>
      <c r="F17" s="10">
        <v>500</v>
      </c>
      <c r="G17" s="10">
        <f>SUMPRODUCT($E$4:$F$4,E17:F17)</f>
        <v>40000</v>
      </c>
      <c r="H17" s="10" t="s">
        <v>158</v>
      </c>
      <c r="I17" s="10">
        <v>40000</v>
      </c>
    </row>
    <row r="18" spans="1:9">
      <c r="D18" s="10" t="s">
        <v>161</v>
      </c>
      <c r="E18" s="10">
        <v>1</v>
      </c>
      <c r="F18" s="10"/>
      <c r="G18" s="10">
        <f>SUMPRODUCT($E$4:$F$4,E18:F18)</f>
        <v>45</v>
      </c>
      <c r="H18" s="10" t="s">
        <v>163</v>
      </c>
      <c r="I18" s="10">
        <v>10</v>
      </c>
    </row>
    <row r="19" spans="1:9">
      <c r="D19" s="10" t="s">
        <v>162</v>
      </c>
      <c r="E19" s="10"/>
      <c r="F19" s="10">
        <v>1</v>
      </c>
      <c r="G19" s="10">
        <f t="shared" ref="G19" si="0">SUMPRODUCT($E$4:$F$4,E19:F19)</f>
        <v>44</v>
      </c>
      <c r="H19" s="10" t="s">
        <v>163</v>
      </c>
      <c r="I19" s="10">
        <v>10</v>
      </c>
    </row>
    <row r="20" spans="1:9">
      <c r="D20" s="10" t="s">
        <v>164</v>
      </c>
      <c r="E20" s="10">
        <v>1</v>
      </c>
      <c r="F20" s="10">
        <v>-1</v>
      </c>
      <c r="G20" s="10">
        <f>SUMPRODUCT($E$4:$F$4,E20:F20)</f>
        <v>1</v>
      </c>
      <c r="H20" s="10" t="s">
        <v>163</v>
      </c>
      <c r="I20" s="10">
        <v>0</v>
      </c>
    </row>
    <row r="21" spans="1:9">
      <c r="A21" t="s">
        <v>166</v>
      </c>
      <c r="I21" t="s">
        <v>165</v>
      </c>
    </row>
    <row r="22" spans="1:9">
      <c r="A22" t="s">
        <v>423</v>
      </c>
    </row>
  </sheetData>
  <mergeCells count="1">
    <mergeCell ref="A1:F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0C4B7-7D2D-4D2B-878F-0258FABA94DC}">
  <dimension ref="A1:F11"/>
  <sheetViews>
    <sheetView workbookViewId="0">
      <selection activeCell="B5" sqref="B5"/>
    </sheetView>
  </sheetViews>
  <sheetFormatPr defaultRowHeight="14.5"/>
  <cols>
    <col min="1" max="1" width="10" bestFit="1" customWidth="1"/>
  </cols>
  <sheetData>
    <row r="1" spans="1:6">
      <c r="B1" t="s">
        <v>167</v>
      </c>
      <c r="C1" t="s">
        <v>168</v>
      </c>
    </row>
    <row r="2" spans="1:6">
      <c r="B2" s="55">
        <v>29.999999999999996</v>
      </c>
      <c r="C2" s="55">
        <v>60</v>
      </c>
      <c r="D2" s="55"/>
    </row>
    <row r="4" spans="1:6">
      <c r="A4" t="s">
        <v>18</v>
      </c>
      <c r="B4">
        <v>3</v>
      </c>
      <c r="C4">
        <v>6</v>
      </c>
    </row>
    <row r="5" spans="1:6">
      <c r="A5" t="s">
        <v>170</v>
      </c>
    </row>
    <row r="6" spans="1:6">
      <c r="A6" t="s">
        <v>20</v>
      </c>
      <c r="B6" s="54">
        <f>SUMPRODUCT(B2:C2,B4:C4)</f>
        <v>450</v>
      </c>
    </row>
    <row r="10" spans="1:6">
      <c r="A10" t="s">
        <v>169</v>
      </c>
      <c r="B10">
        <v>2</v>
      </c>
      <c r="C10">
        <v>1</v>
      </c>
      <c r="D10">
        <f>SUMPRODUCT($B$2:$C$2,B10:C10)</f>
        <v>120</v>
      </c>
      <c r="E10" t="s">
        <v>158</v>
      </c>
      <c r="F10">
        <v>120</v>
      </c>
    </row>
    <row r="11" spans="1:6">
      <c r="B11">
        <v>2</v>
      </c>
      <c r="C11">
        <v>3</v>
      </c>
      <c r="D11">
        <f t="shared" ref="D11" si="0">SUMPRODUCT($B$2:$C$2,B11:C11)</f>
        <v>240</v>
      </c>
      <c r="E11" t="s">
        <v>158</v>
      </c>
      <c r="F11">
        <v>240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7C37D-84B9-4620-B57B-BC051B7E11B7}">
  <dimension ref="A1:H19"/>
  <sheetViews>
    <sheetView workbookViewId="0">
      <selection activeCell="D10" sqref="D10"/>
    </sheetView>
  </sheetViews>
  <sheetFormatPr defaultRowHeight="14.5"/>
  <cols>
    <col min="1" max="1" width="15.7265625" bestFit="1" customWidth="1"/>
    <col min="2" max="2" width="11.6328125" bestFit="1" customWidth="1"/>
    <col min="3" max="3" width="9.1796875" bestFit="1" customWidth="1"/>
    <col min="4" max="4" width="10.08984375" bestFit="1" customWidth="1"/>
  </cols>
  <sheetData>
    <row r="1" spans="1:8">
      <c r="A1" t="s">
        <v>171</v>
      </c>
    </row>
    <row r="2" spans="1:8">
      <c r="B2" t="s">
        <v>174</v>
      </c>
      <c r="C2" t="s">
        <v>173</v>
      </c>
    </row>
    <row r="3" spans="1:8">
      <c r="A3" t="s">
        <v>148</v>
      </c>
      <c r="B3" s="56">
        <v>560</v>
      </c>
      <c r="C3" s="56">
        <v>1200</v>
      </c>
      <c r="D3" t="s">
        <v>165</v>
      </c>
    </row>
    <row r="4" spans="1:8">
      <c r="D4" t="s">
        <v>165</v>
      </c>
    </row>
    <row r="5" spans="1:8">
      <c r="A5" t="s">
        <v>178</v>
      </c>
      <c r="B5" s="58"/>
      <c r="D5" t="s">
        <v>179</v>
      </c>
    </row>
    <row r="6" spans="1:8">
      <c r="A6" t="s">
        <v>180</v>
      </c>
    </row>
    <row r="7" spans="1:8">
      <c r="A7" t="s">
        <v>181</v>
      </c>
      <c r="B7" s="34">
        <v>150</v>
      </c>
      <c r="C7" s="34">
        <v>225</v>
      </c>
      <c r="D7" s="34">
        <f>SUMPRODUCT(B3:C3,B7:C7)</f>
        <v>354000</v>
      </c>
      <c r="H7" s="34">
        <v>11</v>
      </c>
    </row>
    <row r="8" spans="1:8">
      <c r="A8" t="s">
        <v>184</v>
      </c>
      <c r="B8">
        <v>5</v>
      </c>
      <c r="C8">
        <v>6</v>
      </c>
      <c r="D8" s="4">
        <f>SUMPRODUCT(B8:C8,B3:C3)*H7</f>
        <v>110000</v>
      </c>
      <c r="H8" s="34">
        <v>15</v>
      </c>
    </row>
    <row r="9" spans="1:8">
      <c r="A9" t="s">
        <v>185</v>
      </c>
      <c r="B9">
        <v>1</v>
      </c>
      <c r="C9">
        <v>2</v>
      </c>
      <c r="D9" s="4">
        <f>SUMPRODUCT(B9:C9,B3:C3)*H8</f>
        <v>44400</v>
      </c>
    </row>
    <row r="10" spans="1:8">
      <c r="A10" t="s">
        <v>14</v>
      </c>
      <c r="B10">
        <v>300</v>
      </c>
      <c r="C10">
        <v>450</v>
      </c>
      <c r="D10" s="34">
        <f>SUMPRODUCT($B$3:$C$3,B10:C10)</f>
        <v>708000</v>
      </c>
    </row>
    <row r="11" spans="1:8">
      <c r="A11" t="s">
        <v>18</v>
      </c>
      <c r="D11" s="60">
        <f>D10-(D7+D8+D9)</f>
        <v>199600</v>
      </c>
    </row>
    <row r="13" spans="1:8">
      <c r="A13" s="10" t="s">
        <v>153</v>
      </c>
      <c r="B13" s="10"/>
      <c r="C13" s="10"/>
      <c r="D13" s="10" t="s">
        <v>155</v>
      </c>
      <c r="E13" s="10" t="s">
        <v>177</v>
      </c>
      <c r="F13" s="10" t="s">
        <v>157</v>
      </c>
    </row>
    <row r="14" spans="1:8">
      <c r="A14" s="10" t="s">
        <v>175</v>
      </c>
      <c r="B14" s="10">
        <v>1</v>
      </c>
      <c r="C14" s="10"/>
      <c r="D14" s="10">
        <f>SUMPRODUCT($B$3:$C$3,B14:C14)</f>
        <v>560</v>
      </c>
      <c r="E14" s="10" t="s">
        <v>158</v>
      </c>
      <c r="F14" s="10">
        <v>600</v>
      </c>
    </row>
    <row r="15" spans="1:8">
      <c r="A15" s="10" t="s">
        <v>176</v>
      </c>
      <c r="B15" s="10"/>
      <c r="C15" s="10">
        <v>1</v>
      </c>
      <c r="D15" s="10">
        <f>SUMPRODUCT($B$3:$C$3,B15:C15)</f>
        <v>1200</v>
      </c>
      <c r="E15" s="10" t="s">
        <v>158</v>
      </c>
      <c r="F15" s="10">
        <v>1200</v>
      </c>
    </row>
    <row r="16" spans="1:8">
      <c r="A16" s="10" t="s">
        <v>182</v>
      </c>
      <c r="B16" s="10">
        <v>5</v>
      </c>
      <c r="C16" s="10">
        <v>6</v>
      </c>
      <c r="D16" s="10">
        <f>SUMPRODUCT(B3:C3,B16:C16)</f>
        <v>10000</v>
      </c>
      <c r="E16" s="10" t="s">
        <v>158</v>
      </c>
      <c r="F16" s="10">
        <v>10000</v>
      </c>
    </row>
    <row r="17" spans="1:6">
      <c r="A17" s="10" t="s">
        <v>183</v>
      </c>
      <c r="B17" s="10">
        <v>1</v>
      </c>
      <c r="C17" s="10">
        <v>2</v>
      </c>
      <c r="D17" s="10">
        <f>SUMPRODUCT(B3:C3,B17:C17)</f>
        <v>2960</v>
      </c>
      <c r="E17" s="10" t="s">
        <v>158</v>
      </c>
      <c r="F17" s="10">
        <v>3000</v>
      </c>
    </row>
    <row r="18" spans="1:6">
      <c r="A18" s="10"/>
      <c r="B18" s="10"/>
      <c r="C18" s="10"/>
      <c r="D18" s="10"/>
      <c r="E18" s="10"/>
      <c r="F18" s="10"/>
    </row>
    <row r="19" spans="1:6">
      <c r="A19" s="10"/>
      <c r="B19" s="10"/>
      <c r="C19" s="10"/>
      <c r="D19" s="10"/>
      <c r="E19" s="10"/>
      <c r="F19" s="1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788FB-FED4-406E-A033-547D85A17785}">
  <dimension ref="A1:F12"/>
  <sheetViews>
    <sheetView workbookViewId="0">
      <selection activeCell="A7" sqref="A7"/>
    </sheetView>
  </sheetViews>
  <sheetFormatPr defaultRowHeight="14.5"/>
  <cols>
    <col min="1" max="1" width="18.26953125" bestFit="1" customWidth="1"/>
  </cols>
  <sheetData>
    <row r="1" spans="1:6">
      <c r="A1" s="120" t="s">
        <v>186</v>
      </c>
      <c r="B1" s="120"/>
      <c r="C1" s="120"/>
      <c r="D1" s="120"/>
      <c r="E1" s="120"/>
      <c r="F1" s="120"/>
    </row>
    <row r="3" spans="1:6">
      <c r="B3" t="s">
        <v>187</v>
      </c>
      <c r="C3" t="s">
        <v>188</v>
      </c>
    </row>
    <row r="4" spans="1:6">
      <c r="B4" s="59">
        <v>257.55813953488371</v>
      </c>
      <c r="C4" s="59">
        <v>36.627906976744185</v>
      </c>
      <c r="D4" t="s">
        <v>189</v>
      </c>
    </row>
    <row r="6" spans="1:6">
      <c r="A6" t="s">
        <v>18</v>
      </c>
      <c r="B6" s="34">
        <v>12</v>
      </c>
      <c r="C6" s="34">
        <v>20</v>
      </c>
    </row>
    <row r="7" spans="1:6">
      <c r="B7" s="34"/>
      <c r="C7" s="34"/>
    </row>
    <row r="8" spans="1:6">
      <c r="A8" t="s">
        <v>192</v>
      </c>
      <c r="B8" s="52">
        <f>SUMPRODUCT(B4:C4,B6:C6)</f>
        <v>3823.2558139534881</v>
      </c>
    </row>
    <row r="10" spans="1:6">
      <c r="A10" t="s">
        <v>172</v>
      </c>
      <c r="D10" t="s">
        <v>155</v>
      </c>
      <c r="E10" t="s">
        <v>156</v>
      </c>
      <c r="F10" t="s">
        <v>157</v>
      </c>
    </row>
    <row r="11" spans="1:6">
      <c r="A11" t="s">
        <v>190</v>
      </c>
      <c r="B11">
        <v>4</v>
      </c>
      <c r="C11">
        <v>6</v>
      </c>
      <c r="D11">
        <f>SUMPRODUCT(B4:C4,B11:C11)</f>
        <v>1250</v>
      </c>
      <c r="E11" t="s">
        <v>158</v>
      </c>
      <c r="F11">
        <v>1250</v>
      </c>
    </row>
    <row r="12" spans="1:6">
      <c r="A12" t="s">
        <v>191</v>
      </c>
      <c r="B12">
        <v>9</v>
      </c>
      <c r="C12">
        <v>35</v>
      </c>
      <c r="D12">
        <f>SUMPRODUCT(B4:C4,B12:C12)</f>
        <v>3600</v>
      </c>
      <c r="E12" t="s">
        <v>158</v>
      </c>
      <c r="F12">
        <v>3600</v>
      </c>
    </row>
  </sheetData>
  <mergeCells count="1">
    <mergeCell ref="A1:F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3D6A6-D563-4D6C-9E6B-154F737C4E66}">
  <dimension ref="A2:N20"/>
  <sheetViews>
    <sheetView workbookViewId="0">
      <selection activeCell="H15" sqref="H15"/>
    </sheetView>
  </sheetViews>
  <sheetFormatPr defaultRowHeight="14.5"/>
  <cols>
    <col min="1" max="1" width="19.90625" bestFit="1" customWidth="1"/>
    <col min="4" max="4" width="6.36328125" customWidth="1"/>
    <col min="5" max="5" width="5.81640625" customWidth="1"/>
    <col min="6" max="6" width="9.90625" customWidth="1"/>
    <col min="7" max="7" width="17.6328125" bestFit="1" customWidth="1"/>
    <col min="8" max="9" width="9.90625" customWidth="1"/>
    <col min="10" max="10" width="8.90625" customWidth="1"/>
    <col min="11" max="11" width="23.26953125" bestFit="1" customWidth="1"/>
    <col min="12" max="12" width="18.1796875" customWidth="1"/>
    <col min="13" max="13" width="16.453125" bestFit="1" customWidth="1"/>
  </cols>
  <sheetData>
    <row r="2" spans="1:14">
      <c r="B2" t="s">
        <v>207</v>
      </c>
      <c r="C2" t="s">
        <v>208</v>
      </c>
      <c r="D2" t="s">
        <v>209</v>
      </c>
      <c r="E2" t="s">
        <v>210</v>
      </c>
      <c r="F2" t="s">
        <v>211</v>
      </c>
    </row>
    <row r="3" spans="1:14">
      <c r="A3" t="s">
        <v>148</v>
      </c>
      <c r="B3" s="35">
        <v>5000</v>
      </c>
      <c r="C3" s="35">
        <v>10000</v>
      </c>
      <c r="D3" s="35">
        <v>0</v>
      </c>
      <c r="E3" s="35">
        <v>0</v>
      </c>
      <c r="F3" s="35">
        <v>0</v>
      </c>
      <c r="G3" t="s">
        <v>212</v>
      </c>
      <c r="K3" t="s">
        <v>193</v>
      </c>
      <c r="L3" t="s">
        <v>194</v>
      </c>
      <c r="M3" s="61"/>
      <c r="N3" s="61"/>
    </row>
    <row r="4" spans="1:14">
      <c r="B4" s="64">
        <v>5.2999999999999999E-2</v>
      </c>
      <c r="C4" s="64">
        <v>6.8000000000000005E-2</v>
      </c>
      <c r="D4" s="64">
        <v>4.9000000000000002E-2</v>
      </c>
      <c r="E4" s="64">
        <v>8.4000000000000005E-2</v>
      </c>
      <c r="F4" s="64">
        <v>0.11799999999999999</v>
      </c>
      <c r="J4" t="s">
        <v>207</v>
      </c>
      <c r="K4" t="s">
        <v>195</v>
      </c>
      <c r="L4">
        <v>5.3</v>
      </c>
      <c r="M4" s="62"/>
      <c r="N4" s="63"/>
    </row>
    <row r="5" spans="1:14">
      <c r="A5" t="s">
        <v>205</v>
      </c>
      <c r="J5" t="s">
        <v>208</v>
      </c>
      <c r="K5" t="s">
        <v>196</v>
      </c>
      <c r="L5">
        <v>6.8</v>
      </c>
      <c r="M5" s="62"/>
      <c r="N5" s="63"/>
    </row>
    <row r="6" spans="1:14">
      <c r="A6" t="s">
        <v>206</v>
      </c>
      <c r="B6" s="66">
        <f>SUMPRODUCT(B3:F3,B4:F4)</f>
        <v>945</v>
      </c>
      <c r="J6" t="s">
        <v>209</v>
      </c>
      <c r="K6" t="s">
        <v>197</v>
      </c>
      <c r="L6">
        <v>4.9000000000000004</v>
      </c>
      <c r="M6" s="62"/>
      <c r="N6" s="63"/>
    </row>
    <row r="7" spans="1:14">
      <c r="J7" t="s">
        <v>210</v>
      </c>
      <c r="K7" t="s">
        <v>198</v>
      </c>
      <c r="L7">
        <v>8.4</v>
      </c>
      <c r="M7" s="62"/>
      <c r="N7" s="63"/>
    </row>
    <row r="8" spans="1:14">
      <c r="J8" t="s">
        <v>211</v>
      </c>
      <c r="K8" t="s">
        <v>199</v>
      </c>
      <c r="L8">
        <v>11.8</v>
      </c>
      <c r="M8" s="62"/>
      <c r="N8" s="63"/>
    </row>
    <row r="10" spans="1:14">
      <c r="A10" s="10" t="s">
        <v>153</v>
      </c>
      <c r="B10" s="10"/>
      <c r="C10" s="10"/>
      <c r="D10" s="10"/>
      <c r="E10" s="10"/>
      <c r="F10" s="10"/>
      <c r="G10" s="10" t="s">
        <v>155</v>
      </c>
      <c r="H10" s="10" t="s">
        <v>156</v>
      </c>
      <c r="I10" s="10" t="s">
        <v>157</v>
      </c>
      <c r="J10" s="10"/>
    </row>
    <row r="11" spans="1:14">
      <c r="A11" s="10" t="s">
        <v>154</v>
      </c>
      <c r="B11" s="10">
        <v>1</v>
      </c>
      <c r="C11" s="10">
        <v>2</v>
      </c>
      <c r="D11" s="10">
        <v>3</v>
      </c>
      <c r="E11" s="10">
        <v>4</v>
      </c>
      <c r="F11" s="10">
        <v>5</v>
      </c>
      <c r="G11" s="10">
        <f>SUMPRODUCT($B$3:$F$3,B11:F11)</f>
        <v>25000</v>
      </c>
      <c r="H11" s="10" t="s">
        <v>158</v>
      </c>
      <c r="I11" s="10">
        <v>25000</v>
      </c>
      <c r="J11" s="10"/>
    </row>
    <row r="12" spans="1:14">
      <c r="A12" s="10" t="s">
        <v>213</v>
      </c>
      <c r="B12" s="10">
        <v>1</v>
      </c>
      <c r="C12" s="10"/>
      <c r="D12" s="10"/>
      <c r="E12" s="10"/>
      <c r="F12" s="10"/>
      <c r="G12" s="10">
        <f>SUMPRODUCT($B$3:$F$3,B12:F12)</f>
        <v>5000</v>
      </c>
      <c r="H12" s="10" t="s">
        <v>163</v>
      </c>
      <c r="I12" s="10">
        <f>0.2*25000</f>
        <v>5000</v>
      </c>
      <c r="J12" s="10"/>
    </row>
    <row r="13" spans="1:14">
      <c r="A13" s="10" t="s">
        <v>214</v>
      </c>
      <c r="B13" s="10"/>
      <c r="C13" s="10">
        <v>1</v>
      </c>
      <c r="D13" s="10">
        <v>1</v>
      </c>
      <c r="E13" s="10">
        <v>1</v>
      </c>
      <c r="F13" s="10"/>
      <c r="G13" s="10">
        <f>SUMPRODUCT($B$3:$F$3,B13:F13)</f>
        <v>10000</v>
      </c>
      <c r="H13" s="10" t="s">
        <v>163</v>
      </c>
      <c r="I13" s="10">
        <f>0.4*25000</f>
        <v>10000</v>
      </c>
      <c r="J13" s="10"/>
    </row>
    <row r="14" spans="1:14">
      <c r="A14" s="10" t="s">
        <v>215</v>
      </c>
      <c r="B14" s="67">
        <v>-0.5</v>
      </c>
      <c r="C14" s="10"/>
      <c r="D14" s="10"/>
      <c r="E14" s="10"/>
      <c r="F14" s="10">
        <v>1</v>
      </c>
      <c r="G14" s="10">
        <f>SUMPRODUCT($B$3:$F$3,B14:F14)</f>
        <v>-2500</v>
      </c>
      <c r="H14" s="10" t="s">
        <v>158</v>
      </c>
      <c r="I14" s="10">
        <v>0</v>
      </c>
      <c r="J14" s="10"/>
    </row>
    <row r="15" spans="1:14">
      <c r="A15" s="10"/>
      <c r="B15" s="10"/>
      <c r="C15" s="10"/>
      <c r="D15" s="10"/>
      <c r="E15" s="10"/>
      <c r="F15" s="10"/>
      <c r="G15" s="10"/>
      <c r="H15" s="10"/>
      <c r="I15" s="10"/>
      <c r="J15" s="10"/>
    </row>
    <row r="16" spans="1:14">
      <c r="A16" t="s">
        <v>203</v>
      </c>
      <c r="B16" s="29">
        <v>25000</v>
      </c>
    </row>
    <row r="18" spans="1:3">
      <c r="A18" t="s">
        <v>200</v>
      </c>
    </row>
    <row r="19" spans="1:3">
      <c r="A19" t="s">
        <v>201</v>
      </c>
      <c r="B19" s="8">
        <v>0.2</v>
      </c>
      <c r="C19" t="s">
        <v>204</v>
      </c>
    </row>
    <row r="20" spans="1:3">
      <c r="A20" t="s">
        <v>202</v>
      </c>
      <c r="B20" s="8">
        <v>0.4</v>
      </c>
      <c r="C20" t="s">
        <v>204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E9C92-CDC2-42D5-B0A2-E91F315C2B0D}">
  <dimension ref="A2:I22"/>
  <sheetViews>
    <sheetView workbookViewId="0">
      <selection activeCell="G23" sqref="G23"/>
    </sheetView>
  </sheetViews>
  <sheetFormatPr defaultRowHeight="14.5"/>
  <cols>
    <col min="1" max="1" width="13.6328125" bestFit="1" customWidth="1"/>
    <col min="2" max="2" width="26.90625" bestFit="1" customWidth="1"/>
    <col min="3" max="3" width="19.08984375" bestFit="1" customWidth="1"/>
    <col min="4" max="4" width="21.54296875" bestFit="1" customWidth="1"/>
    <col min="5" max="5" width="22.6328125" bestFit="1" customWidth="1"/>
    <col min="6" max="6" width="31" bestFit="1" customWidth="1"/>
  </cols>
  <sheetData>
    <row r="2" spans="1:9">
      <c r="B2" t="s">
        <v>216</v>
      </c>
      <c r="C2" t="s">
        <v>217</v>
      </c>
      <c r="D2" t="s">
        <v>218</v>
      </c>
      <c r="E2" t="s">
        <v>219</v>
      </c>
      <c r="F2" t="s">
        <v>220</v>
      </c>
    </row>
    <row r="3" spans="1:9">
      <c r="A3" t="s">
        <v>148</v>
      </c>
      <c r="C3" s="65">
        <v>0.25</v>
      </c>
      <c r="D3" s="65">
        <v>4.4999999999999991</v>
      </c>
      <c r="E3" s="65">
        <v>0</v>
      </c>
    </row>
    <row r="4" spans="1:9">
      <c r="B4" t="s">
        <v>221</v>
      </c>
      <c r="C4">
        <v>3</v>
      </c>
      <c r="D4">
        <v>4</v>
      </c>
      <c r="E4">
        <v>2</v>
      </c>
      <c r="F4">
        <v>5</v>
      </c>
    </row>
    <row r="5" spans="1:9">
      <c r="B5" t="s">
        <v>222</v>
      </c>
      <c r="C5">
        <v>0.5</v>
      </c>
      <c r="D5">
        <v>1</v>
      </c>
      <c r="E5">
        <v>1</v>
      </c>
      <c r="F5">
        <v>2</v>
      </c>
    </row>
    <row r="6" spans="1:9">
      <c r="B6" t="s">
        <v>223</v>
      </c>
      <c r="C6">
        <v>4</v>
      </c>
      <c r="D6">
        <v>2</v>
      </c>
      <c r="E6">
        <v>6</v>
      </c>
      <c r="F6">
        <v>10</v>
      </c>
    </row>
    <row r="7" spans="1:9">
      <c r="B7" t="s">
        <v>224</v>
      </c>
      <c r="C7">
        <v>1</v>
      </c>
      <c r="D7">
        <v>1.5</v>
      </c>
      <c r="E7">
        <v>2</v>
      </c>
      <c r="F7">
        <v>7</v>
      </c>
    </row>
    <row r="8" spans="1:9">
      <c r="B8" t="s">
        <v>225</v>
      </c>
      <c r="C8">
        <v>0.5</v>
      </c>
      <c r="D8">
        <v>1.5</v>
      </c>
      <c r="E8">
        <v>0.5</v>
      </c>
      <c r="F8">
        <v>6</v>
      </c>
    </row>
    <row r="9" spans="1:9">
      <c r="B9" t="s">
        <v>226</v>
      </c>
      <c r="C9" s="48">
        <v>0.09</v>
      </c>
      <c r="D9" s="48">
        <v>0.12</v>
      </c>
      <c r="E9" s="48">
        <v>0.18</v>
      </c>
    </row>
    <row r="13" spans="1:9">
      <c r="A13" t="s">
        <v>227</v>
      </c>
    </row>
    <row r="14" spans="1:9">
      <c r="A14" t="s">
        <v>228</v>
      </c>
      <c r="B14" s="68">
        <f>SUMPRODUCT(C3:E3,C9:E9)</f>
        <v>0.56249999999999989</v>
      </c>
    </row>
    <row r="16" spans="1:9">
      <c r="A16" s="10" t="s">
        <v>172</v>
      </c>
      <c r="B16" s="10"/>
      <c r="C16" s="10"/>
      <c r="D16" s="10"/>
      <c r="E16" s="10"/>
      <c r="F16" s="10"/>
      <c r="G16" s="10" t="s">
        <v>155</v>
      </c>
      <c r="H16" s="10" t="s">
        <v>156</v>
      </c>
      <c r="I16" s="10" t="s">
        <v>157</v>
      </c>
    </row>
    <row r="17" spans="1:9">
      <c r="A17" s="10" t="s">
        <v>221</v>
      </c>
      <c r="B17" s="10"/>
      <c r="C17" s="10">
        <v>3</v>
      </c>
      <c r="D17" s="10">
        <v>4</v>
      </c>
      <c r="E17" s="10">
        <v>2</v>
      </c>
      <c r="F17" s="10"/>
      <c r="G17" s="10">
        <f>SUMPRODUCT($C$3:$E$3,C17:E17)</f>
        <v>18.749999999999996</v>
      </c>
      <c r="H17" s="10" t="s">
        <v>163</v>
      </c>
      <c r="I17" s="10">
        <v>5</v>
      </c>
    </row>
    <row r="18" spans="1:9">
      <c r="A18" s="10" t="s">
        <v>222</v>
      </c>
      <c r="B18" s="10"/>
      <c r="C18" s="10">
        <v>0.5</v>
      </c>
      <c r="D18" s="10">
        <v>1</v>
      </c>
      <c r="E18" s="10">
        <v>1</v>
      </c>
      <c r="F18" s="10"/>
      <c r="G18" s="10">
        <f t="shared" ref="G18:G21" si="0">SUMPRODUCT($C$3:$E$3,C18:E18)</f>
        <v>4.6249999999999991</v>
      </c>
      <c r="H18" s="10" t="s">
        <v>163</v>
      </c>
      <c r="I18" s="10">
        <v>2</v>
      </c>
    </row>
    <row r="19" spans="1:9">
      <c r="A19" s="10" t="s">
        <v>223</v>
      </c>
      <c r="B19" s="10"/>
      <c r="C19" s="10">
        <v>4</v>
      </c>
      <c r="D19" s="10">
        <v>2</v>
      </c>
      <c r="E19" s="10">
        <v>6</v>
      </c>
      <c r="F19" s="10"/>
      <c r="G19" s="10">
        <f t="shared" si="0"/>
        <v>9.9999999999999982</v>
      </c>
      <c r="H19" s="10" t="s">
        <v>163</v>
      </c>
      <c r="I19" s="10">
        <v>10</v>
      </c>
    </row>
    <row r="20" spans="1:9">
      <c r="A20" s="10" t="s">
        <v>224</v>
      </c>
      <c r="B20" s="10"/>
      <c r="C20" s="10">
        <v>1</v>
      </c>
      <c r="D20" s="10">
        <v>1.5</v>
      </c>
      <c r="E20" s="10">
        <v>2</v>
      </c>
      <c r="F20" s="10"/>
      <c r="G20" s="10">
        <f t="shared" si="0"/>
        <v>6.9999999999999982</v>
      </c>
      <c r="H20" s="10" t="s">
        <v>163</v>
      </c>
      <c r="I20" s="10">
        <v>7</v>
      </c>
    </row>
    <row r="21" spans="1:9">
      <c r="A21" s="10" t="s">
        <v>225</v>
      </c>
      <c r="B21" s="10"/>
      <c r="C21" s="10">
        <v>0.5</v>
      </c>
      <c r="D21" s="10">
        <v>1.5</v>
      </c>
      <c r="E21" s="10">
        <v>0.5</v>
      </c>
      <c r="F21" s="10"/>
      <c r="G21" s="10">
        <f t="shared" si="0"/>
        <v>6.8749999999999982</v>
      </c>
      <c r="H21" s="10" t="s">
        <v>163</v>
      </c>
      <c r="I21" s="10">
        <v>6</v>
      </c>
    </row>
    <row r="22" spans="1:9">
      <c r="A22" s="10"/>
      <c r="B22" s="10"/>
      <c r="C22" s="10"/>
      <c r="D22" s="10"/>
      <c r="E22" s="10"/>
      <c r="F22" s="10"/>
      <c r="G22" s="10">
        <f>AVERAGE(F4:F8)</f>
        <v>6</v>
      </c>
      <c r="H22" s="10" t="s">
        <v>158</v>
      </c>
      <c r="I22" s="10">
        <v>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CF344-57E7-41E4-A7A6-01C0129B4FA4}">
  <dimension ref="A1:T15"/>
  <sheetViews>
    <sheetView zoomScale="85" zoomScaleNormal="85" workbookViewId="0">
      <selection activeCell="T12" sqref="T12"/>
    </sheetView>
  </sheetViews>
  <sheetFormatPr defaultRowHeight="14.5"/>
  <cols>
    <col min="1" max="1" width="15.6328125" bestFit="1" customWidth="1"/>
    <col min="3" max="3" width="8.453125" bestFit="1" customWidth="1"/>
  </cols>
  <sheetData>
    <row r="1" spans="1:20" ht="15.5">
      <c r="A1" s="129" t="s">
        <v>229</v>
      </c>
      <c r="B1" s="129"/>
      <c r="C1" s="129"/>
      <c r="D1" s="129"/>
      <c r="E1" s="129"/>
      <c r="F1" s="129"/>
    </row>
    <row r="2" spans="1:20">
      <c r="C2" t="s">
        <v>230</v>
      </c>
      <c r="D2" t="s">
        <v>231</v>
      </c>
      <c r="E2" t="s">
        <v>232</v>
      </c>
      <c r="F2" t="s">
        <v>233</v>
      </c>
      <c r="G2" t="s">
        <v>234</v>
      </c>
      <c r="H2" t="s">
        <v>235</v>
      </c>
      <c r="I2" t="s">
        <v>236</v>
      </c>
      <c r="J2" t="s">
        <v>237</v>
      </c>
      <c r="K2" t="s">
        <v>238</v>
      </c>
      <c r="L2" t="s">
        <v>239</v>
      </c>
      <c r="M2" t="s">
        <v>240</v>
      </c>
      <c r="N2" t="s">
        <v>241</v>
      </c>
      <c r="O2" t="s">
        <v>242</v>
      </c>
      <c r="P2" t="s">
        <v>243</v>
      </c>
      <c r="Q2" t="s">
        <v>244</v>
      </c>
    </row>
    <row r="3" spans="1:20">
      <c r="A3" t="s">
        <v>148</v>
      </c>
      <c r="C3" s="68">
        <v>400</v>
      </c>
      <c r="D3" s="68">
        <v>0</v>
      </c>
      <c r="E3" s="68">
        <v>300</v>
      </c>
      <c r="F3" s="68">
        <v>500</v>
      </c>
      <c r="G3" s="68">
        <v>0</v>
      </c>
      <c r="H3" s="68">
        <v>0</v>
      </c>
      <c r="I3" s="68">
        <v>0</v>
      </c>
      <c r="J3" s="68">
        <v>100</v>
      </c>
      <c r="K3" s="68">
        <v>0</v>
      </c>
      <c r="L3" s="68">
        <v>0</v>
      </c>
      <c r="M3" s="68">
        <v>800</v>
      </c>
      <c r="N3" s="68">
        <v>0</v>
      </c>
      <c r="O3" s="68">
        <v>0</v>
      </c>
      <c r="P3" s="68">
        <v>0</v>
      </c>
      <c r="Q3" s="68">
        <v>400</v>
      </c>
      <c r="R3" t="s">
        <v>189</v>
      </c>
    </row>
    <row r="4" spans="1:20">
      <c r="C4">
        <v>5</v>
      </c>
      <c r="D4">
        <v>8</v>
      </c>
      <c r="E4">
        <v>6</v>
      </c>
      <c r="F4">
        <v>0</v>
      </c>
      <c r="G4">
        <v>4</v>
      </c>
      <c r="H4">
        <v>12</v>
      </c>
      <c r="I4">
        <v>4</v>
      </c>
      <c r="J4">
        <v>0</v>
      </c>
      <c r="K4">
        <v>7</v>
      </c>
      <c r="L4">
        <v>7</v>
      </c>
      <c r="M4">
        <v>2</v>
      </c>
      <c r="N4">
        <v>5</v>
      </c>
      <c r="O4">
        <v>12</v>
      </c>
      <c r="P4">
        <v>7</v>
      </c>
      <c r="Q4">
        <v>0</v>
      </c>
      <c r="R4" t="s">
        <v>245</v>
      </c>
    </row>
    <row r="5" spans="1:20">
      <c r="A5" t="s">
        <v>247</v>
      </c>
    </row>
    <row r="6" spans="1:20">
      <c r="A6" t="s">
        <v>246</v>
      </c>
      <c r="B6" s="54">
        <f>SUMPRODUCT(C3:Q3,C4:Q4)</f>
        <v>5400</v>
      </c>
    </row>
    <row r="7" spans="1:20">
      <c r="A7" s="10" t="s">
        <v>172</v>
      </c>
      <c r="B7" s="10"/>
      <c r="C7" s="10"/>
      <c r="D7" s="10"/>
      <c r="E7" s="10"/>
      <c r="F7" s="10"/>
      <c r="G7" s="10"/>
      <c r="H7" s="10"/>
      <c r="I7" s="10"/>
      <c r="J7" s="10"/>
      <c r="K7" s="10"/>
      <c r="L7" s="10"/>
      <c r="M7" s="10"/>
      <c r="N7" s="10"/>
      <c r="O7" s="69"/>
      <c r="P7" s="69"/>
      <c r="Q7" s="69"/>
      <c r="R7" s="69" t="s">
        <v>155</v>
      </c>
      <c r="S7" s="69" t="s">
        <v>156</v>
      </c>
      <c r="T7" s="10" t="s">
        <v>157</v>
      </c>
    </row>
    <row r="8" spans="1:20">
      <c r="A8" s="10" t="s">
        <v>248</v>
      </c>
      <c r="B8" s="10"/>
      <c r="C8" s="10">
        <v>1</v>
      </c>
      <c r="D8" s="10"/>
      <c r="E8" s="10"/>
      <c r="F8" s="10">
        <v>1</v>
      </c>
      <c r="G8" s="10"/>
      <c r="H8" s="10"/>
      <c r="I8" s="10">
        <v>1</v>
      </c>
      <c r="J8" s="10"/>
      <c r="K8" s="10"/>
      <c r="L8" s="10">
        <v>1</v>
      </c>
      <c r="M8" s="10"/>
      <c r="N8" s="10"/>
      <c r="O8" s="70">
        <v>1</v>
      </c>
      <c r="P8" s="70"/>
      <c r="Q8" s="70"/>
      <c r="R8" s="70">
        <f>SUMPRODUCT($C$3:$Q$3,C8:Q8)</f>
        <v>900</v>
      </c>
      <c r="S8" s="70" t="s">
        <v>158</v>
      </c>
      <c r="T8" s="10">
        <v>900</v>
      </c>
    </row>
    <row r="9" spans="1:20">
      <c r="A9" s="10" t="s">
        <v>249</v>
      </c>
      <c r="B9" s="10"/>
      <c r="C9" s="10"/>
      <c r="D9" s="10">
        <v>1</v>
      </c>
      <c r="E9" s="10"/>
      <c r="F9" s="10"/>
      <c r="G9" s="10">
        <v>1</v>
      </c>
      <c r="H9" s="10"/>
      <c r="I9" s="10"/>
      <c r="J9" s="10">
        <v>1</v>
      </c>
      <c r="K9" s="10"/>
      <c r="L9" s="10"/>
      <c r="M9" s="10">
        <v>1</v>
      </c>
      <c r="N9" s="10"/>
      <c r="O9" s="70"/>
      <c r="P9" s="70">
        <v>1</v>
      </c>
      <c r="Q9" s="70"/>
      <c r="R9" s="70">
        <f t="shared" ref="R9:R15" si="0">SUMPRODUCT($C$3:$Q$3,C9:Q9)</f>
        <v>900</v>
      </c>
      <c r="S9" s="70" t="s">
        <v>158</v>
      </c>
      <c r="T9" s="10">
        <v>900</v>
      </c>
    </row>
    <row r="10" spans="1:20">
      <c r="A10" s="10" t="s">
        <v>250</v>
      </c>
      <c r="B10" s="10"/>
      <c r="C10" s="10"/>
      <c r="D10" s="10"/>
      <c r="E10" s="10">
        <v>1</v>
      </c>
      <c r="F10" s="10"/>
      <c r="G10" s="10"/>
      <c r="H10" s="10">
        <v>1</v>
      </c>
      <c r="I10" s="10"/>
      <c r="J10" s="10"/>
      <c r="K10" s="10">
        <v>1</v>
      </c>
      <c r="L10" s="10"/>
      <c r="M10" s="10"/>
      <c r="N10" s="10">
        <v>1</v>
      </c>
      <c r="O10" s="70"/>
      <c r="P10" s="70"/>
      <c r="Q10" s="70">
        <v>1</v>
      </c>
      <c r="R10" s="70">
        <f t="shared" si="0"/>
        <v>700</v>
      </c>
      <c r="S10" s="70" t="s">
        <v>158</v>
      </c>
      <c r="T10" s="10">
        <v>900</v>
      </c>
    </row>
    <row r="11" spans="1:20">
      <c r="A11" s="10" t="s">
        <v>251</v>
      </c>
      <c r="B11" s="10"/>
      <c r="C11" s="10">
        <v>1</v>
      </c>
      <c r="D11" s="10">
        <v>1</v>
      </c>
      <c r="E11" s="10">
        <v>1</v>
      </c>
      <c r="F11" s="10"/>
      <c r="G11" s="10"/>
      <c r="H11" s="10"/>
      <c r="I11" s="10"/>
      <c r="J11" s="10"/>
      <c r="K11" s="10"/>
      <c r="L11" s="10"/>
      <c r="M11" s="10"/>
      <c r="N11" s="10"/>
      <c r="O11" s="70"/>
      <c r="P11" s="70"/>
      <c r="Q11" s="70"/>
      <c r="R11" s="70">
        <f t="shared" si="0"/>
        <v>700</v>
      </c>
      <c r="S11" s="71" t="s">
        <v>256</v>
      </c>
      <c r="T11" s="10">
        <v>700</v>
      </c>
    </row>
    <row r="12" spans="1:20">
      <c r="A12" s="10" t="s">
        <v>252</v>
      </c>
      <c r="B12" s="10"/>
      <c r="C12" s="10"/>
      <c r="D12" s="10"/>
      <c r="E12" s="10"/>
      <c r="F12" s="10">
        <v>1</v>
      </c>
      <c r="G12" s="10">
        <v>1</v>
      </c>
      <c r="H12" s="10">
        <v>1</v>
      </c>
      <c r="I12" s="10"/>
      <c r="J12" s="10"/>
      <c r="K12" s="10"/>
      <c r="L12" s="10"/>
      <c r="M12" s="10"/>
      <c r="N12" s="10"/>
      <c r="O12" s="70"/>
      <c r="P12" s="70"/>
      <c r="Q12" s="70"/>
      <c r="R12" s="70">
        <f t="shared" si="0"/>
        <v>500</v>
      </c>
      <c r="S12" s="71" t="s">
        <v>256</v>
      </c>
      <c r="T12" s="10">
        <v>500</v>
      </c>
    </row>
    <row r="13" spans="1:20">
      <c r="A13" s="10" t="s">
        <v>253</v>
      </c>
      <c r="B13" s="10"/>
      <c r="C13" s="10"/>
      <c r="D13" s="10"/>
      <c r="E13" s="10"/>
      <c r="F13" s="10"/>
      <c r="G13" s="10"/>
      <c r="H13" s="10"/>
      <c r="I13" s="10">
        <v>1</v>
      </c>
      <c r="J13" s="10">
        <v>1</v>
      </c>
      <c r="K13" s="10">
        <v>1</v>
      </c>
      <c r="L13" s="10"/>
      <c r="M13" s="10"/>
      <c r="N13" s="10"/>
      <c r="O13" s="10"/>
      <c r="P13" s="10"/>
      <c r="Q13" s="10"/>
      <c r="R13" s="70">
        <f t="shared" si="0"/>
        <v>100</v>
      </c>
      <c r="S13" s="72" t="s">
        <v>256</v>
      </c>
      <c r="T13" s="10">
        <v>100</v>
      </c>
    </row>
    <row r="14" spans="1:20">
      <c r="A14" s="10" t="s">
        <v>254</v>
      </c>
      <c r="B14" s="10"/>
      <c r="C14" s="10"/>
      <c r="D14" s="10"/>
      <c r="E14" s="10"/>
      <c r="F14" s="10"/>
      <c r="G14" s="10"/>
      <c r="H14" s="10"/>
      <c r="I14" s="10"/>
      <c r="J14" s="10"/>
      <c r="K14" s="10"/>
      <c r="L14" s="10">
        <v>1</v>
      </c>
      <c r="M14" s="10">
        <v>1</v>
      </c>
      <c r="N14" s="10">
        <v>1</v>
      </c>
      <c r="O14" s="10"/>
      <c r="P14" s="10"/>
      <c r="Q14" s="10"/>
      <c r="R14" s="70">
        <f t="shared" si="0"/>
        <v>800</v>
      </c>
      <c r="S14" s="72" t="s">
        <v>256</v>
      </c>
      <c r="T14" s="10">
        <v>800</v>
      </c>
    </row>
    <row r="15" spans="1:20">
      <c r="A15" s="10" t="s">
        <v>255</v>
      </c>
      <c r="B15" s="10"/>
      <c r="C15" s="10"/>
      <c r="D15" s="10"/>
      <c r="E15" s="10"/>
      <c r="F15" s="10"/>
      <c r="G15" s="10"/>
      <c r="H15" s="10"/>
      <c r="I15" s="10"/>
      <c r="J15" s="10"/>
      <c r="K15" s="10"/>
      <c r="L15" s="10"/>
      <c r="M15" s="10"/>
      <c r="N15" s="10"/>
      <c r="O15" s="10">
        <v>1</v>
      </c>
      <c r="P15" s="10">
        <v>1</v>
      </c>
      <c r="Q15" s="10">
        <v>1</v>
      </c>
      <c r="R15" s="70">
        <f t="shared" si="0"/>
        <v>400</v>
      </c>
      <c r="S15" s="72" t="s">
        <v>256</v>
      </c>
      <c r="T15" s="10">
        <v>400</v>
      </c>
    </row>
  </sheetData>
  <mergeCells count="1">
    <mergeCell ref="A1:F1"/>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0B3BF-5030-4C42-ABCF-CC64F0438AED}">
  <dimension ref="A1:L17"/>
  <sheetViews>
    <sheetView workbookViewId="0">
      <selection activeCell="B11" sqref="B11"/>
    </sheetView>
  </sheetViews>
  <sheetFormatPr defaultRowHeight="14.5"/>
  <cols>
    <col min="1" max="1" width="13.26953125" bestFit="1" customWidth="1"/>
    <col min="2" max="2" width="14.90625" bestFit="1" customWidth="1"/>
    <col min="3" max="3" width="13.6328125" bestFit="1" customWidth="1"/>
    <col min="4" max="4" width="14.90625" bestFit="1" customWidth="1"/>
  </cols>
  <sheetData>
    <row r="1" spans="1:12">
      <c r="A1" s="120" t="s">
        <v>257</v>
      </c>
      <c r="B1" s="120"/>
      <c r="C1" s="120"/>
      <c r="D1" s="120"/>
      <c r="E1" s="120"/>
    </row>
    <row r="2" spans="1:12">
      <c r="D2" t="s">
        <v>258</v>
      </c>
      <c r="E2">
        <v>1</v>
      </c>
      <c r="F2">
        <v>2</v>
      </c>
      <c r="G2">
        <v>3</v>
      </c>
      <c r="H2">
        <v>4</v>
      </c>
      <c r="I2">
        <v>5</v>
      </c>
    </row>
    <row r="3" spans="1:12">
      <c r="B3">
        <v>1</v>
      </c>
      <c r="C3" t="s">
        <v>262</v>
      </c>
      <c r="E3">
        <v>0</v>
      </c>
      <c r="F3">
        <v>0</v>
      </c>
      <c r="G3">
        <v>0</v>
      </c>
      <c r="H3">
        <v>0</v>
      </c>
      <c r="I3">
        <v>0</v>
      </c>
    </row>
    <row r="4" spans="1:12">
      <c r="B4">
        <v>2</v>
      </c>
    </row>
    <row r="5" spans="1:12">
      <c r="B5">
        <v>3</v>
      </c>
    </row>
    <row r="6" spans="1:12">
      <c r="B6">
        <v>4</v>
      </c>
    </row>
    <row r="7" spans="1:12">
      <c r="B7">
        <v>5</v>
      </c>
    </row>
    <row r="8" spans="1:12">
      <c r="A8" t="s">
        <v>259</v>
      </c>
      <c r="B8" s="34">
        <v>4000</v>
      </c>
    </row>
    <row r="9" spans="1:12">
      <c r="A9" t="s">
        <v>260</v>
      </c>
      <c r="B9" s="34">
        <v>2000</v>
      </c>
    </row>
    <row r="10" spans="1:12">
      <c r="A10" t="s">
        <v>261</v>
      </c>
      <c r="B10" s="34">
        <v>10000</v>
      </c>
    </row>
    <row r="11" spans="1:12">
      <c r="A11" t="s">
        <v>267</v>
      </c>
      <c r="B11" s="73">
        <f>SUM(B8:B10)</f>
        <v>16000</v>
      </c>
    </row>
    <row r="12" spans="1:12">
      <c r="D12" s="10" t="s">
        <v>153</v>
      </c>
      <c r="E12" s="10"/>
      <c r="F12" s="10"/>
      <c r="G12" s="10"/>
      <c r="H12" s="10"/>
      <c r="I12" s="10"/>
      <c r="J12" s="10" t="s">
        <v>155</v>
      </c>
      <c r="K12" s="10" t="s">
        <v>156</v>
      </c>
      <c r="L12" s="10" t="s">
        <v>157</v>
      </c>
    </row>
    <row r="13" spans="1:12">
      <c r="A13" t="s">
        <v>227</v>
      </c>
      <c r="D13" s="10" t="s">
        <v>263</v>
      </c>
      <c r="E13" s="10">
        <v>1</v>
      </c>
      <c r="F13" s="10"/>
      <c r="G13" s="10"/>
      <c r="H13" s="10"/>
      <c r="I13" s="10"/>
      <c r="J13" s="10">
        <f>SUMPRODUCT($E$3:$I$3,E13:I13)</f>
        <v>0</v>
      </c>
      <c r="K13" s="10" t="s">
        <v>256</v>
      </c>
      <c r="L13" s="10">
        <v>60</v>
      </c>
    </row>
    <row r="14" spans="1:12">
      <c r="A14" t="s">
        <v>17</v>
      </c>
      <c r="B14">
        <f>SUM(E3:I3)*B11</f>
        <v>0</v>
      </c>
      <c r="D14" s="10" t="s">
        <v>264</v>
      </c>
      <c r="E14" s="10"/>
      <c r="F14" s="10">
        <v>1</v>
      </c>
      <c r="G14" s="10"/>
      <c r="H14" s="10"/>
      <c r="I14" s="10"/>
      <c r="J14" s="10">
        <f t="shared" ref="J14:J17" si="0">SUMPRODUCT($E$3:$I$3,E14:I14)</f>
        <v>0</v>
      </c>
      <c r="K14" s="10" t="s">
        <v>256</v>
      </c>
      <c r="L14" s="10">
        <v>70</v>
      </c>
    </row>
    <row r="15" spans="1:12">
      <c r="D15" s="10" t="s">
        <v>265</v>
      </c>
      <c r="E15" s="10"/>
      <c r="F15" s="10"/>
      <c r="G15" s="10">
        <v>1</v>
      </c>
      <c r="H15" s="10"/>
      <c r="I15" s="10"/>
      <c r="J15" s="10">
        <f t="shared" si="0"/>
        <v>0</v>
      </c>
      <c r="K15" s="10" t="s">
        <v>256</v>
      </c>
      <c r="L15" s="10">
        <v>50</v>
      </c>
    </row>
    <row r="16" spans="1:12">
      <c r="D16" s="10" t="s">
        <v>266</v>
      </c>
      <c r="E16" s="10"/>
      <c r="F16" s="10"/>
      <c r="G16" s="10"/>
      <c r="H16" s="10">
        <v>1</v>
      </c>
      <c r="I16" s="10"/>
      <c r="J16" s="10">
        <f t="shared" si="0"/>
        <v>0</v>
      </c>
      <c r="K16" s="10" t="s">
        <v>256</v>
      </c>
      <c r="L16" s="10">
        <v>65</v>
      </c>
    </row>
    <row r="17" spans="4:12">
      <c r="D17" s="10" t="s">
        <v>264</v>
      </c>
      <c r="E17" s="10"/>
      <c r="F17" s="10"/>
      <c r="G17" s="10"/>
      <c r="H17" s="10"/>
      <c r="I17" s="10">
        <v>1</v>
      </c>
      <c r="J17" s="10">
        <f t="shared" si="0"/>
        <v>0</v>
      </c>
      <c r="K17" s="10" t="s">
        <v>256</v>
      </c>
      <c r="L17" s="10">
        <v>75</v>
      </c>
    </row>
  </sheetData>
  <mergeCells count="1">
    <mergeCell ref="A1:E1"/>
  </mergeCells>
  <pageMargins left="0.7" right="0.7" top="0.75" bottom="0.75" header="0.3" footer="0.3"/>
  <ignoredErrors>
    <ignoredError sqref="B11" formulaRange="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31CEE-BDAF-45A1-A021-352414FAAE7D}">
  <dimension ref="A1:F9"/>
  <sheetViews>
    <sheetView workbookViewId="0">
      <selection activeCell="B5" sqref="B5"/>
    </sheetView>
  </sheetViews>
  <sheetFormatPr defaultRowHeight="14.5"/>
  <cols>
    <col min="1" max="1" width="14.36328125" bestFit="1" customWidth="1"/>
    <col min="2" max="2" width="9.6328125" bestFit="1" customWidth="1"/>
    <col min="3" max="3" width="9.7265625" bestFit="1" customWidth="1"/>
  </cols>
  <sheetData>
    <row r="1" spans="1:6">
      <c r="A1" s="120" t="s">
        <v>268</v>
      </c>
      <c r="B1" s="120"/>
      <c r="C1" s="120"/>
      <c r="D1" s="120"/>
      <c r="E1" s="120"/>
    </row>
    <row r="2" spans="1:6">
      <c r="A2" t="s">
        <v>269</v>
      </c>
      <c r="B2" t="s">
        <v>270</v>
      </c>
      <c r="C2" t="s">
        <v>271</v>
      </c>
    </row>
    <row r="3" spans="1:6">
      <c r="B3" s="74">
        <v>4</v>
      </c>
      <c r="C3" s="74">
        <v>12</v>
      </c>
      <c r="D3" t="s">
        <v>189</v>
      </c>
    </row>
    <row r="4" spans="1:6">
      <c r="A4" t="s">
        <v>272</v>
      </c>
      <c r="B4" s="54">
        <f>SUMPRODUCT(B3:C3,B5:C5)</f>
        <v>200</v>
      </c>
    </row>
    <row r="5" spans="1:6">
      <c r="A5" t="s">
        <v>18</v>
      </c>
      <c r="B5" s="34">
        <v>20</v>
      </c>
      <c r="C5" s="34">
        <v>10</v>
      </c>
    </row>
    <row r="7" spans="1:6">
      <c r="A7" t="s">
        <v>153</v>
      </c>
    </row>
    <row r="8" spans="1:6">
      <c r="A8" t="s">
        <v>273</v>
      </c>
      <c r="B8">
        <v>1.5</v>
      </c>
      <c r="C8">
        <v>3</v>
      </c>
      <c r="D8">
        <f>SUMPRODUCT(B3:C3,B8:C8)</f>
        <v>42</v>
      </c>
      <c r="E8" t="s">
        <v>158</v>
      </c>
      <c r="F8">
        <v>42</v>
      </c>
    </row>
    <row r="9" spans="1:6">
      <c r="A9" t="s">
        <v>274</v>
      </c>
      <c r="B9">
        <v>3</v>
      </c>
      <c r="C9">
        <v>1</v>
      </c>
      <c r="D9">
        <f>SUMPRODUCT(B3:C3,B9:C9)</f>
        <v>24</v>
      </c>
      <c r="E9" t="s">
        <v>158</v>
      </c>
      <c r="F9">
        <v>24</v>
      </c>
    </row>
  </sheetData>
  <mergeCells count="1">
    <mergeCell ref="A1:E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C8C03-9EA0-42A9-BD97-86B80D3A5715}">
  <dimension ref="A1:F18"/>
  <sheetViews>
    <sheetView workbookViewId="0">
      <selection activeCell="D7" sqref="D7"/>
    </sheetView>
  </sheetViews>
  <sheetFormatPr defaultRowHeight="14.5"/>
  <cols>
    <col min="1" max="1" width="12.453125" bestFit="1" customWidth="1"/>
  </cols>
  <sheetData>
    <row r="1" spans="1:6">
      <c r="A1" s="120" t="s">
        <v>283</v>
      </c>
      <c r="B1" s="120"/>
      <c r="C1" s="120"/>
      <c r="D1" s="120"/>
      <c r="E1" s="120"/>
      <c r="F1" s="120"/>
    </row>
    <row r="3" spans="1:6">
      <c r="B3" t="s">
        <v>275</v>
      </c>
      <c r="C3" t="s">
        <v>276</v>
      </c>
      <c r="D3" t="s">
        <v>277</v>
      </c>
      <c r="E3" t="s">
        <v>278</v>
      </c>
    </row>
    <row r="4" spans="1:6">
      <c r="A4" t="s">
        <v>279</v>
      </c>
      <c r="B4" s="75">
        <v>40</v>
      </c>
      <c r="C4" s="75">
        <v>40</v>
      </c>
      <c r="D4" s="75">
        <v>0</v>
      </c>
      <c r="E4">
        <f>SUM(B4:D4)</f>
        <v>80</v>
      </c>
    </row>
    <row r="5" spans="1:6">
      <c r="A5" t="s">
        <v>280</v>
      </c>
      <c r="B5" s="75">
        <v>0</v>
      </c>
      <c r="C5" s="75">
        <v>0</v>
      </c>
      <c r="D5" s="75">
        <v>40</v>
      </c>
      <c r="E5">
        <f t="shared" ref="E5:E6" si="0">SUM(B5:D5)</f>
        <v>40</v>
      </c>
    </row>
    <row r="6" spans="1:6">
      <c r="A6" t="s">
        <v>281</v>
      </c>
      <c r="B6" s="75">
        <v>10</v>
      </c>
      <c r="C6" s="75">
        <v>0</v>
      </c>
      <c r="D6" s="75">
        <v>20</v>
      </c>
      <c r="E6">
        <f t="shared" si="0"/>
        <v>30</v>
      </c>
    </row>
    <row r="7" spans="1:6">
      <c r="A7" t="s">
        <v>282</v>
      </c>
      <c r="B7">
        <f>SUM(B4:B6)</f>
        <v>50</v>
      </c>
      <c r="C7">
        <f t="shared" ref="C7:D7" si="1">SUM(C4:C6)</f>
        <v>40</v>
      </c>
      <c r="D7">
        <f t="shared" si="1"/>
        <v>60</v>
      </c>
    </row>
    <row r="10" spans="1:6">
      <c r="B10" t="s">
        <v>275</v>
      </c>
      <c r="C10" t="s">
        <v>276</v>
      </c>
      <c r="D10" t="s">
        <v>277</v>
      </c>
      <c r="E10" t="s">
        <v>278</v>
      </c>
    </row>
    <row r="11" spans="1:6">
      <c r="A11" t="s">
        <v>279</v>
      </c>
      <c r="B11" s="34">
        <v>10</v>
      </c>
      <c r="C11" s="34">
        <v>4</v>
      </c>
      <c r="D11" s="34">
        <v>9</v>
      </c>
      <c r="E11">
        <v>80</v>
      </c>
    </row>
    <row r="12" spans="1:6">
      <c r="A12" t="s">
        <v>280</v>
      </c>
      <c r="B12" s="34">
        <v>12</v>
      </c>
      <c r="C12" s="34">
        <v>6</v>
      </c>
      <c r="D12" s="34">
        <v>8</v>
      </c>
      <c r="E12">
        <v>40</v>
      </c>
    </row>
    <row r="13" spans="1:6">
      <c r="A13" t="s">
        <v>281</v>
      </c>
      <c r="B13" s="34">
        <v>8</v>
      </c>
      <c r="C13" s="34">
        <v>9</v>
      </c>
      <c r="D13" s="34">
        <v>5</v>
      </c>
      <c r="E13">
        <v>30</v>
      </c>
    </row>
    <row r="14" spans="1:6">
      <c r="A14" t="s">
        <v>282</v>
      </c>
      <c r="B14">
        <v>50</v>
      </c>
      <c r="C14">
        <v>40</v>
      </c>
      <c r="D14">
        <v>60</v>
      </c>
    </row>
    <row r="17" spans="1:2">
      <c r="A17" t="s">
        <v>284</v>
      </c>
    </row>
    <row r="18" spans="1:2">
      <c r="A18" t="s">
        <v>31</v>
      </c>
      <c r="B18" s="57">
        <f>SUMPRODUCT(B4:D6,B11:D13)</f>
        <v>1060</v>
      </c>
    </row>
  </sheetData>
  <mergeCells count="1">
    <mergeCell ref="A1:F1"/>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E65DC-55AC-4F86-ABF6-1910EFE1B3A5}">
  <dimension ref="A5:O22"/>
  <sheetViews>
    <sheetView workbookViewId="0">
      <selection activeCell="B22" sqref="B22"/>
    </sheetView>
  </sheetViews>
  <sheetFormatPr defaultRowHeight="14.5"/>
  <cols>
    <col min="1" max="1" width="14.1796875" bestFit="1" customWidth="1"/>
    <col min="2" max="5" width="10.08984375" bestFit="1" customWidth="1"/>
  </cols>
  <sheetData>
    <row r="5" spans="1:15">
      <c r="B5" t="s">
        <v>286</v>
      </c>
      <c r="C5" t="s">
        <v>287</v>
      </c>
      <c r="D5" t="s">
        <v>288</v>
      </c>
      <c r="E5" t="s">
        <v>285</v>
      </c>
    </row>
    <row r="6" spans="1:15">
      <c r="A6" t="s">
        <v>289</v>
      </c>
      <c r="B6" s="34">
        <v>800</v>
      </c>
      <c r="C6" s="34">
        <v>1100</v>
      </c>
      <c r="D6" s="34">
        <v>1200</v>
      </c>
      <c r="E6" s="34">
        <v>1000</v>
      </c>
      <c r="F6" s="81"/>
    </row>
    <row r="7" spans="1:15">
      <c r="A7" t="s">
        <v>290</v>
      </c>
      <c r="B7" s="34">
        <v>500</v>
      </c>
      <c r="C7" s="34">
        <v>1600</v>
      </c>
      <c r="D7" s="34">
        <v>1300</v>
      </c>
      <c r="E7" s="34">
        <v>800</v>
      </c>
      <c r="F7" s="81"/>
    </row>
    <row r="8" spans="1:15">
      <c r="A8" t="s">
        <v>291</v>
      </c>
      <c r="B8" s="34">
        <v>500</v>
      </c>
      <c r="C8" s="34">
        <v>1000</v>
      </c>
      <c r="D8" s="34">
        <v>2300</v>
      </c>
      <c r="E8" s="34">
        <v>1500</v>
      </c>
      <c r="F8" s="81"/>
    </row>
    <row r="9" spans="1:15">
      <c r="B9" s="81"/>
      <c r="C9" s="81"/>
      <c r="D9" s="81"/>
      <c r="E9" s="81"/>
    </row>
    <row r="11" spans="1:15">
      <c r="K11" s="77"/>
      <c r="L11" s="130"/>
      <c r="M11" s="130"/>
      <c r="N11" s="130"/>
      <c r="O11" s="76"/>
    </row>
    <row r="12" spans="1:15">
      <c r="B12" t="s">
        <v>286</v>
      </c>
      <c r="C12" t="s">
        <v>287</v>
      </c>
      <c r="D12" t="s">
        <v>288</v>
      </c>
      <c r="E12" t="s">
        <v>285</v>
      </c>
      <c r="F12" t="s">
        <v>155</v>
      </c>
      <c r="G12" t="s">
        <v>156</v>
      </c>
      <c r="H12" t="s">
        <v>157</v>
      </c>
      <c r="K12" s="78"/>
      <c r="L12" s="130"/>
      <c r="M12" s="130"/>
      <c r="N12" s="130"/>
      <c r="O12" s="76"/>
    </row>
    <row r="13" spans="1:15">
      <c r="A13" t="s">
        <v>289</v>
      </c>
      <c r="B13" s="82">
        <v>0</v>
      </c>
      <c r="C13" s="82">
        <v>1</v>
      </c>
      <c r="D13" s="82">
        <v>0</v>
      </c>
      <c r="E13" s="82">
        <v>0</v>
      </c>
      <c r="F13" s="20">
        <f>SUM(B13:E13)</f>
        <v>1</v>
      </c>
      <c r="G13" s="83" t="s">
        <v>256</v>
      </c>
      <c r="H13">
        <v>1</v>
      </c>
      <c r="K13" s="79"/>
      <c r="L13" s="80"/>
      <c r="M13" s="80"/>
      <c r="N13" s="80"/>
      <c r="O13" s="80"/>
    </row>
    <row r="14" spans="1:15">
      <c r="A14" t="s">
        <v>290</v>
      </c>
      <c r="B14" s="82">
        <v>0</v>
      </c>
      <c r="C14" s="82">
        <v>0</v>
      </c>
      <c r="D14" s="82">
        <v>0</v>
      </c>
      <c r="E14" s="82">
        <v>1</v>
      </c>
      <c r="F14" s="20">
        <f t="shared" ref="F14:F15" si="0">SUM(B14:E14)</f>
        <v>1</v>
      </c>
      <c r="G14" s="83" t="s">
        <v>256</v>
      </c>
      <c r="H14">
        <v>1</v>
      </c>
      <c r="K14" s="79"/>
      <c r="L14" s="80"/>
      <c r="M14" s="80"/>
      <c r="N14" s="80"/>
      <c r="O14" s="80"/>
    </row>
    <row r="15" spans="1:15">
      <c r="A15" t="s">
        <v>291</v>
      </c>
      <c r="B15" s="82">
        <v>1</v>
      </c>
      <c r="C15" s="82">
        <v>0</v>
      </c>
      <c r="D15" s="82">
        <v>0</v>
      </c>
      <c r="E15" s="82">
        <v>0</v>
      </c>
      <c r="F15" s="20">
        <f t="shared" si="0"/>
        <v>1</v>
      </c>
      <c r="G15" s="83" t="s">
        <v>256</v>
      </c>
      <c r="H15">
        <v>1</v>
      </c>
      <c r="K15" s="79"/>
      <c r="L15" s="80"/>
      <c r="M15" s="80"/>
      <c r="N15" s="80"/>
      <c r="O15" s="80"/>
    </row>
    <row r="16" spans="1:15">
      <c r="B16" s="20">
        <f>SUM(B13:B15)</f>
        <v>1</v>
      </c>
      <c r="C16" s="20">
        <f t="shared" ref="C16:E16" si="1">SUM(C13:C15)</f>
        <v>1</v>
      </c>
      <c r="D16" s="20">
        <f t="shared" si="1"/>
        <v>0</v>
      </c>
      <c r="E16" s="20">
        <f t="shared" si="1"/>
        <v>1</v>
      </c>
    </row>
    <row r="17" spans="1:5">
      <c r="B17" t="s">
        <v>158</v>
      </c>
      <c r="C17" t="s">
        <v>158</v>
      </c>
      <c r="D17" t="s">
        <v>158</v>
      </c>
      <c r="E17" t="s">
        <v>158</v>
      </c>
    </row>
    <row r="18" spans="1:5">
      <c r="B18">
        <v>1</v>
      </c>
      <c r="C18">
        <v>1</v>
      </c>
      <c r="D18">
        <v>1</v>
      </c>
      <c r="E18">
        <v>1</v>
      </c>
    </row>
    <row r="21" spans="1:5">
      <c r="A21" t="s">
        <v>292</v>
      </c>
    </row>
    <row r="22" spans="1:5">
      <c r="A22" t="s">
        <v>293</v>
      </c>
      <c r="B22" s="84">
        <f>SUMPRODUCT(B6:E8,B13:E15)</f>
        <v>2400</v>
      </c>
    </row>
  </sheetData>
  <mergeCells count="3">
    <mergeCell ref="L11:L12"/>
    <mergeCell ref="M11:M12"/>
    <mergeCell ref="N11:N1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AECD4-D6EE-47FB-9BD0-16C17F727C9B}">
  <dimension ref="A1:S20"/>
  <sheetViews>
    <sheetView workbookViewId="0">
      <selection activeCell="C17" sqref="C17:F17"/>
    </sheetView>
  </sheetViews>
  <sheetFormatPr defaultRowHeight="14.5"/>
  <sheetData>
    <row r="1" spans="1:19">
      <c r="A1" s="120" t="s">
        <v>302</v>
      </c>
      <c r="B1" s="120"/>
      <c r="C1" s="120"/>
      <c r="D1" s="120"/>
      <c r="E1" s="120"/>
      <c r="F1" s="120"/>
    </row>
    <row r="3" spans="1:19">
      <c r="C3" t="s">
        <v>294</v>
      </c>
      <c r="D3" t="s">
        <v>295</v>
      </c>
      <c r="E3" t="s">
        <v>296</v>
      </c>
      <c r="F3" t="s">
        <v>297</v>
      </c>
    </row>
    <row r="4" spans="1:19">
      <c r="B4" t="s">
        <v>298</v>
      </c>
      <c r="C4">
        <v>1500</v>
      </c>
      <c r="D4">
        <v>1730</v>
      </c>
      <c r="E4">
        <v>1940</v>
      </c>
      <c r="F4">
        <v>2070</v>
      </c>
    </row>
    <row r="5" spans="1:19">
      <c r="B5" t="s">
        <v>299</v>
      </c>
      <c r="C5">
        <v>460</v>
      </c>
      <c r="D5">
        <v>810</v>
      </c>
      <c r="E5">
        <v>1020</v>
      </c>
      <c r="F5">
        <v>1270</v>
      </c>
    </row>
    <row r="6" spans="1:19">
      <c r="B6" t="s">
        <v>300</v>
      </c>
      <c r="C6">
        <v>1500</v>
      </c>
      <c r="D6">
        <v>1850</v>
      </c>
      <c r="E6">
        <v>2080</v>
      </c>
      <c r="F6" t="s">
        <v>167</v>
      </c>
    </row>
    <row r="7" spans="1:19">
      <c r="B7" t="s">
        <v>301</v>
      </c>
      <c r="C7">
        <v>960</v>
      </c>
      <c r="D7">
        <v>610</v>
      </c>
      <c r="E7">
        <v>400</v>
      </c>
      <c r="F7">
        <v>330</v>
      </c>
    </row>
    <row r="10" spans="1:19">
      <c r="C10" t="s">
        <v>294</v>
      </c>
      <c r="D10" t="s">
        <v>295</v>
      </c>
      <c r="E10" t="s">
        <v>296</v>
      </c>
      <c r="F10" t="s">
        <v>297</v>
      </c>
      <c r="G10" t="s">
        <v>155</v>
      </c>
      <c r="H10" t="s">
        <v>156</v>
      </c>
      <c r="I10" t="s">
        <v>157</v>
      </c>
    </row>
    <row r="11" spans="1:19">
      <c r="B11" t="s">
        <v>298</v>
      </c>
      <c r="C11" s="56">
        <v>0</v>
      </c>
      <c r="D11" s="56">
        <v>0</v>
      </c>
      <c r="E11" s="56">
        <v>1</v>
      </c>
      <c r="F11" s="56">
        <v>0</v>
      </c>
      <c r="G11">
        <f>SUM(C11:F11)</f>
        <v>1</v>
      </c>
      <c r="H11" s="83" t="s">
        <v>256</v>
      </c>
      <c r="I11">
        <v>1</v>
      </c>
    </row>
    <row r="12" spans="1:19">
      <c r="B12" t="s">
        <v>299</v>
      </c>
      <c r="C12" s="56">
        <v>0</v>
      </c>
      <c r="D12" s="56">
        <v>1</v>
      </c>
      <c r="E12" s="56">
        <v>0</v>
      </c>
      <c r="F12" s="56">
        <v>0</v>
      </c>
      <c r="G12">
        <f t="shared" ref="G12:G14" si="0">SUM(C12:F12)</f>
        <v>1</v>
      </c>
      <c r="H12" s="83" t="s">
        <v>256</v>
      </c>
      <c r="I12">
        <v>1</v>
      </c>
    </row>
    <row r="13" spans="1:19">
      <c r="B13" t="s">
        <v>300</v>
      </c>
      <c r="C13" s="56">
        <v>1</v>
      </c>
      <c r="D13" s="56">
        <v>0</v>
      </c>
      <c r="E13" s="56">
        <v>0</v>
      </c>
      <c r="F13" s="56">
        <v>0</v>
      </c>
      <c r="G13">
        <f t="shared" si="0"/>
        <v>1</v>
      </c>
      <c r="H13" s="83" t="s">
        <v>256</v>
      </c>
      <c r="I13">
        <v>1</v>
      </c>
      <c r="O13" s="78"/>
      <c r="P13" s="78"/>
      <c r="Q13" s="78"/>
      <c r="R13" s="78"/>
      <c r="S13" s="78"/>
    </row>
    <row r="14" spans="1:19">
      <c r="B14" t="s">
        <v>301</v>
      </c>
      <c r="C14" s="56">
        <v>0</v>
      </c>
      <c r="D14" s="56">
        <v>0</v>
      </c>
      <c r="E14" s="56">
        <v>0</v>
      </c>
      <c r="F14" s="56">
        <v>1</v>
      </c>
      <c r="G14">
        <f t="shared" si="0"/>
        <v>1</v>
      </c>
      <c r="H14" s="83" t="s">
        <v>256</v>
      </c>
      <c r="I14">
        <v>1</v>
      </c>
      <c r="O14" s="79"/>
      <c r="P14" s="79"/>
      <c r="Q14" s="79"/>
      <c r="R14" s="79"/>
      <c r="S14" s="79"/>
    </row>
    <row r="15" spans="1:19">
      <c r="B15" t="s">
        <v>303</v>
      </c>
      <c r="C15">
        <f>SUM(C11:C14)</f>
        <v>1</v>
      </c>
      <c r="D15">
        <f t="shared" ref="D15:F15" si="1">SUM(D11:D14)</f>
        <v>1</v>
      </c>
      <c r="E15">
        <f t="shared" si="1"/>
        <v>1</v>
      </c>
      <c r="F15">
        <f t="shared" si="1"/>
        <v>1</v>
      </c>
      <c r="O15" s="79"/>
      <c r="P15" s="79"/>
      <c r="Q15" s="79"/>
      <c r="R15" s="79"/>
      <c r="S15" s="79"/>
    </row>
    <row r="16" spans="1:19">
      <c r="C16" t="s">
        <v>256</v>
      </c>
      <c r="D16" t="s">
        <v>256</v>
      </c>
      <c r="E16" t="s">
        <v>256</v>
      </c>
      <c r="F16" t="s">
        <v>256</v>
      </c>
      <c r="O16" s="79"/>
      <c r="P16" s="79"/>
      <c r="Q16" s="79"/>
      <c r="R16" s="79"/>
      <c r="S16" s="79"/>
    </row>
    <row r="17" spans="1:19">
      <c r="C17">
        <v>1</v>
      </c>
      <c r="D17">
        <v>1</v>
      </c>
      <c r="E17">
        <v>1</v>
      </c>
      <c r="F17">
        <v>1</v>
      </c>
      <c r="O17" s="79"/>
      <c r="P17" s="79"/>
      <c r="Q17" s="79"/>
      <c r="R17" s="79"/>
      <c r="S17" s="79"/>
    </row>
    <row r="19" spans="1:19">
      <c r="A19" t="s">
        <v>227</v>
      </c>
    </row>
    <row r="20" spans="1:19">
      <c r="A20" t="s">
        <v>304</v>
      </c>
      <c r="B20" s="54">
        <f>SUMPRODUCT(C4:F7,C11:F14)</f>
        <v>4580</v>
      </c>
    </row>
  </sheetData>
  <mergeCells count="1">
    <mergeCell ref="A1:F1"/>
  </mergeCells>
  <phoneticPr fontId="14"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D63E3-9625-4D79-BB07-F318E37E27A6}">
  <dimension ref="B2:R20"/>
  <sheetViews>
    <sheetView workbookViewId="0">
      <selection activeCell="C14" sqref="C14:F14"/>
    </sheetView>
  </sheetViews>
  <sheetFormatPr defaultRowHeight="14.5"/>
  <cols>
    <col min="4" max="4" width="11.90625" bestFit="1" customWidth="1"/>
    <col min="5" max="5" width="7.1796875" bestFit="1" customWidth="1"/>
  </cols>
  <sheetData>
    <row r="2" spans="2:18">
      <c r="C2" t="s">
        <v>305</v>
      </c>
      <c r="D2" t="s">
        <v>306</v>
      </c>
      <c r="E2" t="s">
        <v>307</v>
      </c>
      <c r="F2" t="s">
        <v>308</v>
      </c>
    </row>
    <row r="3" spans="2:18">
      <c r="B3" t="s">
        <v>309</v>
      </c>
      <c r="C3">
        <v>80</v>
      </c>
      <c r="D3">
        <v>85</v>
      </c>
      <c r="E3">
        <v>95</v>
      </c>
      <c r="F3">
        <v>40</v>
      </c>
    </row>
    <row r="4" spans="2:18">
      <c r="B4" t="s">
        <v>310</v>
      </c>
      <c r="C4">
        <v>85</v>
      </c>
      <c r="D4">
        <v>30</v>
      </c>
      <c r="E4">
        <v>75</v>
      </c>
      <c r="F4">
        <v>65</v>
      </c>
    </row>
    <row r="5" spans="2:18">
      <c r="B5" t="s">
        <v>311</v>
      </c>
      <c r="C5">
        <v>90</v>
      </c>
      <c r="D5">
        <v>55</v>
      </c>
      <c r="E5">
        <v>80</v>
      </c>
      <c r="F5">
        <v>70</v>
      </c>
    </row>
    <row r="6" spans="2:18">
      <c r="B6" t="s">
        <v>312</v>
      </c>
      <c r="C6">
        <v>55</v>
      </c>
      <c r="D6">
        <v>80</v>
      </c>
      <c r="E6">
        <v>65</v>
      </c>
      <c r="F6">
        <v>50</v>
      </c>
    </row>
    <row r="9" spans="2:18">
      <c r="C9" t="s">
        <v>305</v>
      </c>
      <c r="D9" t="s">
        <v>306</v>
      </c>
      <c r="E9" t="s">
        <v>307</v>
      </c>
      <c r="F9" t="s">
        <v>308</v>
      </c>
      <c r="G9" t="s">
        <v>179</v>
      </c>
    </row>
    <row r="10" spans="2:18">
      <c r="B10" t="s">
        <v>309</v>
      </c>
      <c r="C10" s="90">
        <v>0</v>
      </c>
      <c r="D10" s="90">
        <v>0</v>
      </c>
      <c r="E10" s="90">
        <v>1</v>
      </c>
      <c r="F10" s="90">
        <v>0</v>
      </c>
      <c r="G10" s="36">
        <f>SUM(C10:F10)</f>
        <v>1</v>
      </c>
      <c r="H10" s="36" t="s">
        <v>256</v>
      </c>
      <c r="I10" s="36">
        <v>1</v>
      </c>
    </row>
    <row r="11" spans="2:18">
      <c r="B11" t="s">
        <v>310</v>
      </c>
      <c r="C11" s="90">
        <v>1</v>
      </c>
      <c r="D11" s="90">
        <v>0</v>
      </c>
      <c r="E11" s="90">
        <v>0</v>
      </c>
      <c r="F11" s="90">
        <v>0</v>
      </c>
      <c r="G11" s="36">
        <f t="shared" ref="G11:G13" si="0">SUM(C11:F11)</f>
        <v>1</v>
      </c>
      <c r="H11" s="36" t="s">
        <v>256</v>
      </c>
      <c r="I11" s="36">
        <v>1</v>
      </c>
    </row>
    <row r="12" spans="2:18">
      <c r="B12" t="s">
        <v>311</v>
      </c>
      <c r="C12" s="90">
        <v>0</v>
      </c>
      <c r="D12" s="90">
        <v>0</v>
      </c>
      <c r="E12" s="90">
        <v>0</v>
      </c>
      <c r="F12" s="90">
        <v>1</v>
      </c>
      <c r="G12" s="36">
        <f t="shared" si="0"/>
        <v>1</v>
      </c>
      <c r="H12" s="36" t="s">
        <v>256</v>
      </c>
      <c r="I12" s="36">
        <v>1</v>
      </c>
    </row>
    <row r="13" spans="2:18">
      <c r="B13" t="s">
        <v>312</v>
      </c>
      <c r="C13" s="90">
        <v>0</v>
      </c>
      <c r="D13" s="90">
        <v>1</v>
      </c>
      <c r="E13" s="90">
        <v>0</v>
      </c>
      <c r="F13" s="90">
        <v>0</v>
      </c>
      <c r="G13" s="36">
        <f t="shared" si="0"/>
        <v>1</v>
      </c>
      <c r="H13" s="36" t="s">
        <v>256</v>
      </c>
      <c r="I13" s="36">
        <v>1</v>
      </c>
      <c r="N13" s="87"/>
      <c r="O13" s="88"/>
      <c r="P13" s="88"/>
      <c r="Q13" s="88"/>
      <c r="R13" s="88"/>
    </row>
    <row r="14" spans="2:18">
      <c r="B14" t="s">
        <v>179</v>
      </c>
      <c r="C14" s="36">
        <f>SUM(C10:C13)</f>
        <v>1</v>
      </c>
      <c r="D14" s="36">
        <f t="shared" ref="D14:F14" si="1">SUM(D10:D13)</f>
        <v>1</v>
      </c>
      <c r="E14" s="36">
        <f t="shared" si="1"/>
        <v>1</v>
      </c>
      <c r="F14" s="36">
        <f t="shared" si="1"/>
        <v>1</v>
      </c>
      <c r="N14" s="88"/>
      <c r="O14" s="89"/>
      <c r="P14" s="89"/>
      <c r="Q14" s="89"/>
      <c r="R14" s="89"/>
    </row>
    <row r="15" spans="2:18">
      <c r="C15" s="36" t="s">
        <v>256</v>
      </c>
      <c r="D15" s="36" t="s">
        <v>256</v>
      </c>
      <c r="E15" s="36" t="s">
        <v>256</v>
      </c>
      <c r="F15" s="36" t="s">
        <v>256</v>
      </c>
      <c r="N15" s="88"/>
      <c r="O15" s="89"/>
      <c r="P15" s="89"/>
      <c r="Q15" s="89"/>
      <c r="R15" s="89"/>
    </row>
    <row r="16" spans="2:18">
      <c r="C16" s="36">
        <v>1</v>
      </c>
      <c r="D16" s="36">
        <v>1</v>
      </c>
      <c r="E16" s="36">
        <v>1</v>
      </c>
      <c r="F16" s="36">
        <v>1</v>
      </c>
      <c r="N16" s="88"/>
      <c r="O16" s="89"/>
      <c r="P16" s="89"/>
      <c r="Q16" s="89"/>
      <c r="R16" s="89"/>
    </row>
    <row r="17" spans="2:18">
      <c r="N17" s="88"/>
      <c r="O17" s="89"/>
      <c r="P17" s="89"/>
      <c r="Q17" s="89"/>
      <c r="R17" s="89"/>
    </row>
    <row r="19" spans="2:18">
      <c r="B19" t="s">
        <v>313</v>
      </c>
    </row>
    <row r="20" spans="2:18">
      <c r="B20" t="s">
        <v>314</v>
      </c>
      <c r="C20" s="91">
        <f>SUMPRODUCT(C3:F6,C10:F13)</f>
        <v>330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8214D-DCBE-4C62-8D82-B0F0CB304AAC}">
  <dimension ref="A1:H23"/>
  <sheetViews>
    <sheetView workbookViewId="0">
      <selection activeCell="A24" sqref="A24"/>
    </sheetView>
  </sheetViews>
  <sheetFormatPr defaultRowHeight="14.5"/>
  <sheetData>
    <row r="1" spans="1:8">
      <c r="A1" s="127" t="s">
        <v>315</v>
      </c>
      <c r="B1" s="127"/>
      <c r="C1" s="127"/>
      <c r="D1" s="127"/>
      <c r="E1" s="127"/>
      <c r="F1" s="127"/>
      <c r="G1" s="127"/>
    </row>
    <row r="2" spans="1:8">
      <c r="C2" t="s">
        <v>318</v>
      </c>
      <c r="D2" t="s">
        <v>319</v>
      </c>
      <c r="E2" t="s">
        <v>320</v>
      </c>
    </row>
    <row r="3" spans="1:8">
      <c r="B3" t="s">
        <v>316</v>
      </c>
      <c r="C3" s="34">
        <v>22</v>
      </c>
      <c r="D3" s="34">
        <v>14</v>
      </c>
      <c r="E3" s="34">
        <v>30</v>
      </c>
    </row>
    <row r="4" spans="1:8">
      <c r="B4" t="s">
        <v>317</v>
      </c>
      <c r="C4" s="34">
        <v>16</v>
      </c>
      <c r="D4" s="34">
        <v>20</v>
      </c>
      <c r="E4" s="34">
        <v>24</v>
      </c>
    </row>
    <row r="6" spans="1:8">
      <c r="E6" t="s">
        <v>325</v>
      </c>
    </row>
    <row r="7" spans="1:8">
      <c r="D7" t="s">
        <v>316</v>
      </c>
      <c r="F7" s="34">
        <v>6</v>
      </c>
    </row>
    <row r="8" spans="1:8">
      <c r="D8" t="s">
        <v>317</v>
      </c>
      <c r="F8" s="32">
        <v>6.25</v>
      </c>
    </row>
    <row r="10" spans="1:8">
      <c r="C10" t="s">
        <v>318</v>
      </c>
      <c r="D10" t="s">
        <v>319</v>
      </c>
      <c r="E10" t="s">
        <v>320</v>
      </c>
      <c r="F10" t="s">
        <v>324</v>
      </c>
      <c r="H10" t="s">
        <v>322</v>
      </c>
    </row>
    <row r="11" spans="1:8">
      <c r="B11" t="s">
        <v>316</v>
      </c>
      <c r="C11" s="90">
        <v>30</v>
      </c>
      <c r="D11" s="90">
        <v>60</v>
      </c>
      <c r="E11" s="90">
        <v>0</v>
      </c>
      <c r="F11">
        <f>SUM(C11:E11)</f>
        <v>90</v>
      </c>
      <c r="G11" t="s">
        <v>158</v>
      </c>
      <c r="H11">
        <v>100</v>
      </c>
    </row>
    <row r="12" spans="1:8">
      <c r="B12" t="s">
        <v>317</v>
      </c>
      <c r="C12" s="90">
        <v>50</v>
      </c>
      <c r="D12" s="90">
        <v>0</v>
      </c>
      <c r="E12" s="90">
        <v>70</v>
      </c>
      <c r="F12">
        <f>SUM(C12:E12)</f>
        <v>120</v>
      </c>
      <c r="G12" t="s">
        <v>158</v>
      </c>
      <c r="H12">
        <v>120</v>
      </c>
    </row>
    <row r="13" spans="1:8">
      <c r="B13" t="s">
        <v>323</v>
      </c>
      <c r="C13">
        <f>SUM(C11:C12)</f>
        <v>80</v>
      </c>
      <c r="D13">
        <f t="shared" ref="D13:E13" si="0">SUM(D11:D12)</f>
        <v>60</v>
      </c>
      <c r="E13">
        <f t="shared" si="0"/>
        <v>70</v>
      </c>
    </row>
    <row r="14" spans="1:8">
      <c r="C14" t="s">
        <v>256</v>
      </c>
      <c r="D14" t="s">
        <v>256</v>
      </c>
      <c r="E14" t="s">
        <v>256</v>
      </c>
    </row>
    <row r="15" spans="1:8">
      <c r="C15">
        <v>80</v>
      </c>
      <c r="D15">
        <v>60</v>
      </c>
      <c r="E15">
        <v>70</v>
      </c>
    </row>
    <row r="17" spans="1:2">
      <c r="A17" t="s">
        <v>326</v>
      </c>
    </row>
    <row r="18" spans="1:2">
      <c r="A18" t="s">
        <v>228</v>
      </c>
      <c r="B18">
        <f>SUM(SUMPRODUCT(C3:E4,C11:E12),SUMPRODUCT(F7:F8,F11:F12))</f>
        <v>5270</v>
      </c>
    </row>
    <row r="20" spans="1:2">
      <c r="A20" s="94" t="s">
        <v>335</v>
      </c>
    </row>
    <row r="21" spans="1:2">
      <c r="A21" t="s">
        <v>337</v>
      </c>
    </row>
    <row r="22" spans="1:2">
      <c r="A22" t="s">
        <v>336</v>
      </c>
    </row>
    <row r="23" spans="1:2">
      <c r="A23" t="s">
        <v>338</v>
      </c>
    </row>
  </sheetData>
  <mergeCells count="1">
    <mergeCell ref="A1:G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C61A8-ED17-471D-852E-EC259BB73EE8}">
  <dimension ref="A1:T25"/>
  <sheetViews>
    <sheetView topLeftCell="A4" workbookViewId="0">
      <selection activeCell="A24" sqref="A24"/>
    </sheetView>
  </sheetViews>
  <sheetFormatPr defaultRowHeight="14.5"/>
  <cols>
    <col min="1" max="1" width="13.81640625" bestFit="1" customWidth="1"/>
  </cols>
  <sheetData>
    <row r="1" spans="1:20">
      <c r="A1" s="120" t="s">
        <v>331</v>
      </c>
      <c r="B1" s="120"/>
      <c r="C1" s="120"/>
      <c r="D1" s="120"/>
      <c r="E1" s="120"/>
      <c r="F1" s="120"/>
      <c r="G1" s="120"/>
      <c r="H1" s="120"/>
    </row>
    <row r="3" spans="1:20">
      <c r="D3" t="s">
        <v>327</v>
      </c>
    </row>
    <row r="4" spans="1:20">
      <c r="B4" t="s">
        <v>328</v>
      </c>
      <c r="C4" t="s">
        <v>221</v>
      </c>
      <c r="D4" t="s">
        <v>222</v>
      </c>
      <c r="E4" t="s">
        <v>223</v>
      </c>
    </row>
    <row r="5" spans="1:20">
      <c r="B5">
        <v>1</v>
      </c>
      <c r="C5">
        <v>5</v>
      </c>
      <c r="D5">
        <v>8</v>
      </c>
      <c r="E5">
        <v>6</v>
      </c>
    </row>
    <row r="6" spans="1:20">
      <c r="B6">
        <v>2</v>
      </c>
      <c r="C6">
        <v>10</v>
      </c>
      <c r="D6">
        <v>9</v>
      </c>
      <c r="E6">
        <v>12</v>
      </c>
      <c r="Q6" s="86"/>
      <c r="R6" s="86"/>
      <c r="S6" s="85"/>
      <c r="T6" s="86"/>
    </row>
    <row r="7" spans="1:20">
      <c r="B7">
        <v>3</v>
      </c>
      <c r="C7">
        <v>7</v>
      </c>
      <c r="D7">
        <v>6</v>
      </c>
      <c r="E7">
        <v>10</v>
      </c>
      <c r="Q7" s="85"/>
      <c r="R7" s="85"/>
      <c r="S7" s="85"/>
      <c r="T7" s="86"/>
    </row>
    <row r="8" spans="1:20">
      <c r="Q8" s="85"/>
      <c r="R8" s="86"/>
      <c r="S8" s="86"/>
      <c r="T8" s="86"/>
    </row>
    <row r="9" spans="1:20">
      <c r="Q9" s="86"/>
      <c r="R9" s="86"/>
      <c r="S9" s="86"/>
      <c r="T9" s="86"/>
    </row>
    <row r="10" spans="1:20">
      <c r="Q10" s="86"/>
      <c r="R10" s="86"/>
      <c r="S10" s="86"/>
      <c r="T10" s="86"/>
    </row>
    <row r="11" spans="1:20">
      <c r="D11" t="s">
        <v>327</v>
      </c>
    </row>
    <row r="12" spans="1:20">
      <c r="B12" t="s">
        <v>328</v>
      </c>
      <c r="C12" t="s">
        <v>221</v>
      </c>
      <c r="D12" t="s">
        <v>222</v>
      </c>
      <c r="E12" t="s">
        <v>223</v>
      </c>
      <c r="F12" t="s">
        <v>321</v>
      </c>
    </row>
    <row r="13" spans="1:20">
      <c r="B13" t="s">
        <v>279</v>
      </c>
      <c r="C13" s="92">
        <v>0</v>
      </c>
      <c r="D13" s="92">
        <v>60</v>
      </c>
      <c r="E13" s="92">
        <v>0</v>
      </c>
      <c r="F13" s="93">
        <f>SUM(C13:E13)</f>
        <v>60</v>
      </c>
      <c r="G13" t="s">
        <v>158</v>
      </c>
      <c r="H13">
        <v>60</v>
      </c>
    </row>
    <row r="14" spans="1:20">
      <c r="B14" t="s">
        <v>280</v>
      </c>
      <c r="C14" s="92">
        <v>45</v>
      </c>
      <c r="D14" s="92">
        <v>30</v>
      </c>
      <c r="E14" s="92">
        <v>30</v>
      </c>
      <c r="F14" s="93">
        <f t="shared" ref="F14:F15" si="0">SUM(C14:E14)</f>
        <v>105</v>
      </c>
      <c r="G14" t="s">
        <v>158</v>
      </c>
      <c r="H14">
        <v>105</v>
      </c>
    </row>
    <row r="15" spans="1:20">
      <c r="B15" t="s">
        <v>281</v>
      </c>
      <c r="C15" s="92">
        <v>0</v>
      </c>
      <c r="D15" s="92">
        <v>0</v>
      </c>
      <c r="E15" s="92">
        <v>5</v>
      </c>
      <c r="F15" s="93">
        <f t="shared" si="0"/>
        <v>5</v>
      </c>
      <c r="G15" t="s">
        <v>158</v>
      </c>
      <c r="H15">
        <v>70</v>
      </c>
    </row>
    <row r="16" spans="1:20">
      <c r="B16" t="s">
        <v>321</v>
      </c>
      <c r="C16" s="93">
        <f>SUM(C13:C15)</f>
        <v>45</v>
      </c>
      <c r="D16" s="93">
        <f t="shared" ref="D16:E16" si="1">SUM(D13:D15)</f>
        <v>90</v>
      </c>
      <c r="E16" s="93">
        <f t="shared" si="1"/>
        <v>35</v>
      </c>
    </row>
    <row r="17" spans="1:9">
      <c r="C17" t="s">
        <v>158</v>
      </c>
      <c r="D17" t="s">
        <v>158</v>
      </c>
      <c r="E17" t="s">
        <v>158</v>
      </c>
    </row>
    <row r="18" spans="1:9">
      <c r="C18" s="20">
        <v>45</v>
      </c>
      <c r="D18" s="20">
        <v>90</v>
      </c>
      <c r="E18" s="20">
        <v>35</v>
      </c>
    </row>
    <row r="20" spans="1:9">
      <c r="A20" t="s">
        <v>329</v>
      </c>
    </row>
    <row r="21" spans="1:9">
      <c r="A21" t="s">
        <v>330</v>
      </c>
      <c r="B21">
        <f>SUMPRODUCT(C5:E7,C13:E15)</f>
        <v>1610</v>
      </c>
    </row>
    <row r="23" spans="1:9" ht="14" customHeight="1">
      <c r="A23" s="131" t="s">
        <v>332</v>
      </c>
      <c r="B23" s="131"/>
      <c r="C23" s="131"/>
      <c r="D23" s="131"/>
      <c r="E23" s="131"/>
      <c r="F23" s="131"/>
      <c r="G23" s="131"/>
      <c r="H23" s="131"/>
      <c r="I23" s="131"/>
    </row>
    <row r="24" spans="1:9">
      <c r="A24" t="s">
        <v>334</v>
      </c>
    </row>
    <row r="25" spans="1:9">
      <c r="A25" t="s">
        <v>333</v>
      </c>
    </row>
  </sheetData>
  <mergeCells count="2">
    <mergeCell ref="A1:H1"/>
    <mergeCell ref="A23:I23"/>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B0DE8-0E0A-4480-9E05-3EF1AFF2E686}">
  <dimension ref="A1:F17"/>
  <sheetViews>
    <sheetView zoomScaleNormal="100" workbookViewId="0">
      <selection activeCell="A18" sqref="A18"/>
    </sheetView>
  </sheetViews>
  <sheetFormatPr defaultRowHeight="14.5"/>
  <cols>
    <col min="1" max="1" width="17.54296875" bestFit="1" customWidth="1"/>
    <col min="2" max="2" width="9.81640625" bestFit="1" customWidth="1"/>
    <col min="3" max="4" width="13.7265625" bestFit="1" customWidth="1"/>
  </cols>
  <sheetData>
    <row r="1" spans="1:6">
      <c r="A1" s="120" t="s">
        <v>339</v>
      </c>
      <c r="B1" s="120"/>
      <c r="C1" s="120"/>
      <c r="D1" s="120"/>
      <c r="E1" s="120"/>
    </row>
    <row r="2" spans="1:6">
      <c r="B2" s="120" t="s">
        <v>340</v>
      </c>
      <c r="C2" s="120"/>
    </row>
    <row r="3" spans="1:6">
      <c r="B3" t="s">
        <v>344</v>
      </c>
      <c r="C3" t="s">
        <v>345</v>
      </c>
    </row>
    <row r="4" spans="1:6">
      <c r="A4" t="s">
        <v>346</v>
      </c>
      <c r="B4" s="95">
        <v>4</v>
      </c>
      <c r="C4" s="95">
        <v>1</v>
      </c>
      <c r="D4" s="20"/>
    </row>
    <row r="5" spans="1:6">
      <c r="A5" t="s">
        <v>341</v>
      </c>
      <c r="B5" s="81">
        <v>8200</v>
      </c>
      <c r="C5" s="20">
        <v>5100</v>
      </c>
      <c r="D5" s="20"/>
    </row>
    <row r="7" spans="1:6">
      <c r="A7" t="s">
        <v>313</v>
      </c>
    </row>
    <row r="8" spans="1:6">
      <c r="A8" t="s">
        <v>347</v>
      </c>
      <c r="B8" s="20">
        <f>SUMPRODUCT(B4:C4,B5:C5)</f>
        <v>37900</v>
      </c>
      <c r="C8" s="20"/>
    </row>
    <row r="9" spans="1:6">
      <c r="B9" s="4"/>
      <c r="C9" s="20"/>
    </row>
    <row r="11" spans="1:6">
      <c r="A11" t="s">
        <v>153</v>
      </c>
      <c r="D11" t="s">
        <v>155</v>
      </c>
      <c r="E11" t="s">
        <v>156</v>
      </c>
      <c r="F11" t="s">
        <v>157</v>
      </c>
    </row>
    <row r="12" spans="1:6">
      <c r="A12" t="s">
        <v>342</v>
      </c>
      <c r="B12" s="81">
        <v>390</v>
      </c>
      <c r="C12" s="81">
        <v>240</v>
      </c>
      <c r="D12">
        <f>SUMPRODUCT($B$4:$C$4,B12:C12)</f>
        <v>1800</v>
      </c>
      <c r="E12" t="s">
        <v>158</v>
      </c>
      <c r="F12" s="20">
        <v>1800</v>
      </c>
    </row>
    <row r="13" spans="1:6">
      <c r="A13" t="s">
        <v>343</v>
      </c>
      <c r="C13">
        <v>1</v>
      </c>
      <c r="D13">
        <f>SUMPRODUCT($B$4:$C$4,B13:C13)</f>
        <v>1</v>
      </c>
      <c r="E13" t="s">
        <v>158</v>
      </c>
      <c r="F13">
        <v>6</v>
      </c>
    </row>
    <row r="14" spans="1:6">
      <c r="A14" t="s">
        <v>343</v>
      </c>
      <c r="B14">
        <v>1</v>
      </c>
      <c r="D14">
        <f t="shared" ref="D14" si="0">SUMPRODUCT($B$4:$C$4,B14:C14)</f>
        <v>4</v>
      </c>
      <c r="E14" t="s">
        <v>163</v>
      </c>
      <c r="F14">
        <v>2</v>
      </c>
    </row>
    <row r="17" spans="1:1">
      <c r="A17" t="s">
        <v>348</v>
      </c>
    </row>
  </sheetData>
  <mergeCells count="2">
    <mergeCell ref="A1:E1"/>
    <mergeCell ref="B2:C2"/>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FFB80-9F90-4A44-BE1D-EABED3FAEAD8}">
  <dimension ref="A1:T16"/>
  <sheetViews>
    <sheetView workbookViewId="0">
      <selection activeCell="B17" sqref="B17"/>
    </sheetView>
  </sheetViews>
  <sheetFormatPr defaultRowHeight="14.5"/>
  <cols>
    <col min="2" max="2" width="12.54296875" bestFit="1" customWidth="1"/>
    <col min="3" max="4" width="16.36328125" bestFit="1" customWidth="1"/>
    <col min="5" max="6" width="16.36328125" customWidth="1"/>
    <col min="7" max="7" width="10.36328125" bestFit="1" customWidth="1"/>
    <col min="8" max="8" width="19.6328125" bestFit="1" customWidth="1"/>
  </cols>
  <sheetData>
    <row r="1" spans="1:20">
      <c r="A1" s="127" t="s">
        <v>353</v>
      </c>
      <c r="B1" s="127"/>
      <c r="C1" s="127"/>
      <c r="D1" s="127"/>
      <c r="E1" s="127"/>
      <c r="F1" s="127"/>
      <c r="G1" s="127"/>
    </row>
    <row r="3" spans="1:20">
      <c r="C3" t="s">
        <v>350</v>
      </c>
      <c r="D3" t="s">
        <v>351</v>
      </c>
    </row>
    <row r="4" spans="1:20">
      <c r="C4" s="96">
        <v>44</v>
      </c>
      <c r="D4" s="96">
        <v>20</v>
      </c>
    </row>
    <row r="5" spans="1:20">
      <c r="B5" t="s">
        <v>95</v>
      </c>
      <c r="C5">
        <v>85</v>
      </c>
      <c r="D5">
        <v>1.5</v>
      </c>
    </row>
    <row r="6" spans="1:20">
      <c r="B6" t="s">
        <v>354</v>
      </c>
      <c r="C6" s="84">
        <f>SUMPRODUCT(C4:D4,C5:D5)</f>
        <v>3770</v>
      </c>
    </row>
    <row r="7" spans="1:20">
      <c r="Q7" s="40"/>
      <c r="R7" s="40"/>
      <c r="S7" s="40"/>
      <c r="T7" s="40"/>
    </row>
    <row r="8" spans="1:20">
      <c r="Q8" s="41"/>
      <c r="R8" s="41"/>
      <c r="S8" s="41"/>
      <c r="T8" s="41"/>
    </row>
    <row r="9" spans="1:20">
      <c r="Q9" s="41"/>
      <c r="R9" s="41"/>
      <c r="S9" s="41"/>
      <c r="T9" s="41"/>
    </row>
    <row r="10" spans="1:20">
      <c r="B10" t="s">
        <v>349</v>
      </c>
      <c r="C10" t="s">
        <v>350</v>
      </c>
      <c r="D10" t="s">
        <v>351</v>
      </c>
      <c r="E10" t="s">
        <v>155</v>
      </c>
      <c r="F10" t="s">
        <v>156</v>
      </c>
      <c r="G10" t="s">
        <v>352</v>
      </c>
      <c r="Q10" s="41"/>
      <c r="R10" s="41"/>
      <c r="S10" s="41"/>
      <c r="T10" s="41"/>
    </row>
    <row r="11" spans="1:20">
      <c r="B11" t="s">
        <v>221</v>
      </c>
      <c r="C11">
        <v>30</v>
      </c>
      <c r="D11">
        <v>0.5</v>
      </c>
      <c r="E11">
        <f>SUMPRODUCT($C$4:$D$4,C11:D11)</f>
        <v>1330</v>
      </c>
      <c r="F11" t="s">
        <v>158</v>
      </c>
      <c r="G11">
        <v>2000</v>
      </c>
    </row>
    <row r="12" spans="1:20">
      <c r="B12" t="s">
        <v>222</v>
      </c>
      <c r="C12">
        <v>18</v>
      </c>
      <c r="D12">
        <v>0.4</v>
      </c>
      <c r="E12">
        <f>SUMPRODUCT($C$4:$D$4,C12:D12)</f>
        <v>800</v>
      </c>
      <c r="F12" t="s">
        <v>158</v>
      </c>
      <c r="G12">
        <v>800</v>
      </c>
    </row>
    <row r="13" spans="1:20">
      <c r="B13" t="s">
        <v>223</v>
      </c>
      <c r="C13">
        <v>2</v>
      </c>
      <c r="D13">
        <v>0.1</v>
      </c>
      <c r="E13">
        <f>SUMPRODUCT($C$4:$D$4,C13:D13)</f>
        <v>90</v>
      </c>
      <c r="F13" t="s">
        <v>158</v>
      </c>
      <c r="G13">
        <v>200</v>
      </c>
    </row>
    <row r="14" spans="1:20">
      <c r="B14" t="s">
        <v>321</v>
      </c>
      <c r="C14">
        <f>SUM(C11:C13)</f>
        <v>50</v>
      </c>
      <c r="D14">
        <f>SUM(D11:D13)</f>
        <v>1</v>
      </c>
    </row>
    <row r="16" spans="1:20">
      <c r="B16" t="s">
        <v>355</v>
      </c>
    </row>
  </sheetData>
  <mergeCells count="1">
    <mergeCell ref="A1:G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15D71-AAFC-43B5-836F-59F587EF0CB0}">
  <dimension ref="A2:F12"/>
  <sheetViews>
    <sheetView workbookViewId="0">
      <selection activeCell="I11" sqref="I11"/>
    </sheetView>
  </sheetViews>
  <sheetFormatPr defaultRowHeight="14.5"/>
  <cols>
    <col min="1" max="1" width="20.81640625" bestFit="1" customWidth="1"/>
  </cols>
  <sheetData>
    <row r="2" spans="1:6">
      <c r="B2" s="120" t="s">
        <v>358</v>
      </c>
      <c r="C2" s="120"/>
    </row>
    <row r="3" spans="1:6">
      <c r="B3" t="s">
        <v>356</v>
      </c>
      <c r="C3" t="s">
        <v>357</v>
      </c>
    </row>
    <row r="4" spans="1:6">
      <c r="A4" t="s">
        <v>148</v>
      </c>
      <c r="B4" s="98">
        <v>2</v>
      </c>
      <c r="C4" s="98">
        <v>6</v>
      </c>
    </row>
    <row r="5" spans="1:6">
      <c r="A5" t="s">
        <v>20</v>
      </c>
      <c r="B5">
        <v>5</v>
      </c>
      <c r="C5">
        <v>7</v>
      </c>
    </row>
    <row r="6" spans="1:6">
      <c r="A6" t="s">
        <v>359</v>
      </c>
    </row>
    <row r="7" spans="1:6">
      <c r="A7" t="s">
        <v>360</v>
      </c>
      <c r="B7" s="97">
        <f>SUMPRODUCT(B4:C4,B5:C5)</f>
        <v>52</v>
      </c>
    </row>
    <row r="9" spans="1:6">
      <c r="A9" s="10" t="s">
        <v>153</v>
      </c>
      <c r="B9" s="10"/>
      <c r="C9" s="10"/>
      <c r="D9" s="10" t="s">
        <v>155</v>
      </c>
      <c r="E9" s="10" t="s">
        <v>363</v>
      </c>
      <c r="F9" s="10" t="s">
        <v>157</v>
      </c>
    </row>
    <row r="10" spans="1:6">
      <c r="A10" s="10" t="s">
        <v>362</v>
      </c>
      <c r="B10" s="10">
        <v>1</v>
      </c>
      <c r="C10" s="10">
        <v>0</v>
      </c>
      <c r="D10" s="10">
        <f>SUMPRODUCT($B$4:$C$4,B10:C10)</f>
        <v>2</v>
      </c>
      <c r="E10" s="10" t="s">
        <v>158</v>
      </c>
      <c r="F10" s="10">
        <v>4</v>
      </c>
    </row>
    <row r="11" spans="1:6">
      <c r="A11" s="10"/>
      <c r="B11" s="10"/>
      <c r="C11" s="10">
        <v>1</v>
      </c>
      <c r="D11" s="10">
        <f t="shared" ref="D11:D12" si="0">SUMPRODUCT($B$4:$C$4,B11:C11)</f>
        <v>6</v>
      </c>
      <c r="E11" s="10" t="s">
        <v>158</v>
      </c>
      <c r="F11" s="10">
        <v>6</v>
      </c>
    </row>
    <row r="12" spans="1:6">
      <c r="A12" s="10" t="s">
        <v>361</v>
      </c>
      <c r="B12" s="10">
        <v>3</v>
      </c>
      <c r="C12" s="10">
        <v>1.5</v>
      </c>
      <c r="D12" s="10">
        <f t="shared" si="0"/>
        <v>15</v>
      </c>
      <c r="E12" s="10" t="s">
        <v>158</v>
      </c>
      <c r="F12" s="10">
        <v>15</v>
      </c>
    </row>
  </sheetData>
  <mergeCells count="1">
    <mergeCell ref="B2:C2"/>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47557-6535-4BB7-81F0-120CBB3EF600}">
  <dimension ref="A1:L24"/>
  <sheetViews>
    <sheetView zoomScale="85" zoomScaleNormal="85" workbookViewId="0">
      <selection activeCell="A25" sqref="A25"/>
    </sheetView>
  </sheetViews>
  <sheetFormatPr defaultRowHeight="14.5"/>
  <cols>
    <col min="1" max="1" width="27.90625" bestFit="1" customWidth="1"/>
    <col min="2" max="2" width="14.453125" customWidth="1"/>
    <col min="3" max="3" width="18.36328125" customWidth="1"/>
    <col min="4" max="4" width="10.08984375" bestFit="1" customWidth="1"/>
    <col min="5" max="5" width="14.26953125" bestFit="1" customWidth="1"/>
    <col min="6" max="6" width="13.90625" customWidth="1"/>
    <col min="7" max="7" width="11.90625" customWidth="1"/>
    <col min="8" max="8" width="14.36328125" bestFit="1" customWidth="1"/>
    <col min="10" max="10" width="19.26953125" bestFit="1" customWidth="1"/>
    <col min="11" max="11" width="11.7265625" customWidth="1"/>
    <col min="12" max="12" width="14.453125" customWidth="1"/>
    <col min="13" max="13" width="28" bestFit="1" customWidth="1"/>
    <col min="14" max="14" width="27.90625" bestFit="1" customWidth="1"/>
  </cols>
  <sheetData>
    <row r="1" spans="1:12">
      <c r="B1" s="120" t="s">
        <v>374</v>
      </c>
      <c r="C1" s="120"/>
      <c r="D1" s="120"/>
      <c r="E1" s="120"/>
      <c r="F1" s="120"/>
      <c r="G1" s="120"/>
      <c r="H1" s="120"/>
    </row>
    <row r="2" spans="1:12">
      <c r="B2" t="s">
        <v>367</v>
      </c>
      <c r="C2" t="s">
        <v>368</v>
      </c>
      <c r="D2" t="s">
        <v>369</v>
      </c>
      <c r="E2" t="s">
        <v>370</v>
      </c>
      <c r="F2" t="s">
        <v>371</v>
      </c>
      <c r="G2" t="s">
        <v>372</v>
      </c>
      <c r="H2" t="s">
        <v>373</v>
      </c>
    </row>
    <row r="3" spans="1:12">
      <c r="A3" t="s">
        <v>376</v>
      </c>
      <c r="B3" s="100">
        <v>0</v>
      </c>
      <c r="C3" s="100">
        <v>0</v>
      </c>
      <c r="D3" s="100">
        <v>1</v>
      </c>
      <c r="E3" s="100">
        <v>1</v>
      </c>
      <c r="F3" s="100">
        <v>1</v>
      </c>
      <c r="G3" s="100">
        <v>1</v>
      </c>
      <c r="H3" s="100">
        <v>0</v>
      </c>
      <c r="J3" t="s">
        <v>364</v>
      </c>
      <c r="K3" t="s">
        <v>365</v>
      </c>
      <c r="L3" t="s">
        <v>366</v>
      </c>
    </row>
    <row r="4" spans="1:12">
      <c r="A4" t="s">
        <v>377</v>
      </c>
      <c r="B4">
        <v>50</v>
      </c>
      <c r="C4">
        <v>80</v>
      </c>
      <c r="D4">
        <v>90</v>
      </c>
      <c r="E4">
        <v>120</v>
      </c>
      <c r="F4">
        <v>110</v>
      </c>
      <c r="G4">
        <v>40</v>
      </c>
      <c r="H4">
        <v>75</v>
      </c>
      <c r="J4" t="s">
        <v>367</v>
      </c>
      <c r="K4">
        <v>50</v>
      </c>
      <c r="L4">
        <v>480</v>
      </c>
    </row>
    <row r="5" spans="1:12">
      <c r="A5" t="s">
        <v>378</v>
      </c>
      <c r="B5">
        <v>480</v>
      </c>
      <c r="C5">
        <v>540</v>
      </c>
      <c r="D5">
        <v>680</v>
      </c>
      <c r="E5">
        <v>1000</v>
      </c>
      <c r="F5">
        <v>700</v>
      </c>
      <c r="G5">
        <v>510</v>
      </c>
      <c r="H5">
        <v>900</v>
      </c>
      <c r="J5" t="s">
        <v>368</v>
      </c>
      <c r="K5">
        <v>80</v>
      </c>
      <c r="L5">
        <v>540</v>
      </c>
    </row>
    <row r="6" spans="1:12">
      <c r="J6" t="s">
        <v>369</v>
      </c>
      <c r="K6">
        <v>90</v>
      </c>
      <c r="L6">
        <v>680</v>
      </c>
    </row>
    <row r="7" spans="1:12">
      <c r="J7" t="s">
        <v>370</v>
      </c>
      <c r="K7">
        <v>120</v>
      </c>
      <c r="L7">
        <v>1000</v>
      </c>
    </row>
    <row r="8" spans="1:12">
      <c r="J8" t="s">
        <v>371</v>
      </c>
      <c r="K8">
        <v>110</v>
      </c>
      <c r="L8">
        <v>700</v>
      </c>
    </row>
    <row r="9" spans="1:12">
      <c r="J9" t="s">
        <v>372</v>
      </c>
      <c r="K9">
        <v>40</v>
      </c>
      <c r="L9">
        <v>510</v>
      </c>
    </row>
    <row r="10" spans="1:12">
      <c r="A10" t="s">
        <v>178</v>
      </c>
      <c r="J10" t="s">
        <v>373</v>
      </c>
      <c r="K10">
        <v>75</v>
      </c>
      <c r="L10">
        <v>900</v>
      </c>
    </row>
    <row r="11" spans="1:12">
      <c r="A11" t="s">
        <v>375</v>
      </c>
      <c r="B11" s="103">
        <f>SUMPRODUCT(B3:H3,B4:H4)</f>
        <v>360</v>
      </c>
    </row>
    <row r="14" spans="1:12">
      <c r="A14" s="10" t="s">
        <v>153</v>
      </c>
      <c r="B14" s="10"/>
      <c r="C14" s="10"/>
      <c r="D14" s="10"/>
      <c r="E14" s="10"/>
      <c r="F14" s="10"/>
      <c r="G14" s="10"/>
      <c r="H14" s="101"/>
      <c r="I14" s="101" t="s">
        <v>155</v>
      </c>
      <c r="J14" s="101" t="s">
        <v>156</v>
      </c>
      <c r="K14" s="10" t="s">
        <v>157</v>
      </c>
    </row>
    <row r="15" spans="1:12">
      <c r="A15" s="10" t="s">
        <v>379</v>
      </c>
      <c r="B15" s="10">
        <v>1</v>
      </c>
      <c r="C15" s="10"/>
      <c r="D15" s="10"/>
      <c r="E15" s="10">
        <v>1</v>
      </c>
      <c r="F15" s="10">
        <v>1</v>
      </c>
      <c r="G15" s="10"/>
      <c r="H15" s="102"/>
      <c r="I15" s="102">
        <f>SUMPRODUCT($B$3:$H$3,B15:H15)</f>
        <v>2</v>
      </c>
      <c r="J15" s="102" t="s">
        <v>163</v>
      </c>
      <c r="K15" s="10">
        <v>2</v>
      </c>
    </row>
    <row r="16" spans="1:12">
      <c r="A16" s="10" t="s">
        <v>380</v>
      </c>
      <c r="B16" s="10"/>
      <c r="C16" s="10">
        <v>1</v>
      </c>
      <c r="D16" s="10">
        <v>1</v>
      </c>
      <c r="E16" s="10"/>
      <c r="F16" s="10"/>
      <c r="G16" s="10"/>
      <c r="H16" s="102"/>
      <c r="I16" s="102">
        <f>SUMPRODUCT($B$3:$H$3,B16:H16)</f>
        <v>1</v>
      </c>
      <c r="J16" s="102" t="s">
        <v>158</v>
      </c>
      <c r="K16" s="10">
        <v>1</v>
      </c>
    </row>
    <row r="17" spans="1:11">
      <c r="A17" s="10" t="s">
        <v>381</v>
      </c>
      <c r="B17" s="10"/>
      <c r="C17" s="10"/>
      <c r="D17" s="10"/>
      <c r="E17" s="10"/>
      <c r="F17" s="10"/>
      <c r="G17" s="10">
        <v>1</v>
      </c>
      <c r="H17" s="10">
        <v>1</v>
      </c>
      <c r="I17" s="102">
        <f>SUMPRODUCT($B$3:$H$3,B17:H17)</f>
        <v>1</v>
      </c>
      <c r="J17" s="102" t="s">
        <v>256</v>
      </c>
      <c r="K17" s="10">
        <v>1</v>
      </c>
    </row>
    <row r="18" spans="1:11">
      <c r="A18" s="10" t="s">
        <v>154</v>
      </c>
      <c r="B18">
        <v>480</v>
      </c>
      <c r="C18">
        <v>540</v>
      </c>
      <c r="D18">
        <v>680</v>
      </c>
      <c r="E18">
        <v>1000</v>
      </c>
      <c r="F18">
        <v>700</v>
      </c>
      <c r="G18">
        <v>510</v>
      </c>
      <c r="H18">
        <v>900</v>
      </c>
      <c r="I18" s="102">
        <f>SUMPRODUCT($B$3:$H$3,B18:H18)</f>
        <v>2890</v>
      </c>
      <c r="J18" s="102" t="s">
        <v>158</v>
      </c>
      <c r="K18" s="10">
        <v>3000</v>
      </c>
    </row>
    <row r="19" spans="1:11">
      <c r="A19" s="10"/>
      <c r="B19" s="10"/>
      <c r="C19" s="10"/>
      <c r="D19" s="10"/>
      <c r="E19" s="10"/>
      <c r="F19" s="10"/>
      <c r="G19" s="10"/>
      <c r="H19" s="10"/>
      <c r="I19" s="102"/>
      <c r="J19" s="102"/>
      <c r="K19" s="10"/>
    </row>
    <row r="20" spans="1:11">
      <c r="H20" s="99"/>
      <c r="I20" s="99"/>
      <c r="J20" s="99"/>
      <c r="K20" s="99"/>
    </row>
    <row r="21" spans="1:11">
      <c r="H21" s="99"/>
      <c r="I21" s="99"/>
      <c r="J21" s="99"/>
      <c r="K21" s="99"/>
    </row>
    <row r="22" spans="1:11">
      <c r="A22" t="s">
        <v>382</v>
      </c>
      <c r="J22" s="99"/>
    </row>
    <row r="23" spans="1:11">
      <c r="A23" t="s">
        <v>383</v>
      </c>
      <c r="H23" s="99"/>
      <c r="J23" s="99"/>
    </row>
    <row r="24" spans="1:11">
      <c r="A24" t="s">
        <v>384</v>
      </c>
    </row>
  </sheetData>
  <mergeCells count="1">
    <mergeCell ref="B1:H1"/>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4B6F4-19F9-4CF0-A7A6-6D3BD74DC228}">
  <dimension ref="A1:J22"/>
  <sheetViews>
    <sheetView workbookViewId="0">
      <selection activeCell="B4" sqref="B4"/>
    </sheetView>
  </sheetViews>
  <sheetFormatPr defaultRowHeight="14.5"/>
  <cols>
    <col min="1" max="1" width="18.26953125" bestFit="1" customWidth="1"/>
  </cols>
  <sheetData>
    <row r="1" spans="1:10">
      <c r="A1" s="127" t="s">
        <v>385</v>
      </c>
      <c r="B1" s="127"/>
      <c r="C1" s="127"/>
    </row>
    <row r="2" spans="1:10">
      <c r="A2" s="120" t="s">
        <v>386</v>
      </c>
      <c r="B2" s="120"/>
    </row>
    <row r="3" spans="1:10">
      <c r="A3" t="s">
        <v>395</v>
      </c>
    </row>
    <row r="4" spans="1:10">
      <c r="A4" t="s">
        <v>394</v>
      </c>
      <c r="B4" s="57">
        <f>SUMPRODUCT(B10:D10,B11:D11)</f>
        <v>0.15581416718997976</v>
      </c>
    </row>
    <row r="5" spans="1:10">
      <c r="J5" s="8"/>
    </row>
    <row r="6" spans="1:10">
      <c r="B6" s="36" t="s">
        <v>167</v>
      </c>
      <c r="C6" s="36" t="s">
        <v>168</v>
      </c>
      <c r="J6" s="8"/>
    </row>
    <row r="7" spans="1:10">
      <c r="A7" t="s">
        <v>387</v>
      </c>
      <c r="B7" s="104">
        <v>0.9302331998342539</v>
      </c>
      <c r="C7" s="104">
        <v>6.9767485924401129E-2</v>
      </c>
    </row>
    <row r="9" spans="1:10">
      <c r="A9" s="11" t="s">
        <v>388</v>
      </c>
      <c r="B9" s="11" t="s">
        <v>389</v>
      </c>
      <c r="C9" s="11" t="s">
        <v>390</v>
      </c>
      <c r="D9" s="11" t="s">
        <v>391</v>
      </c>
    </row>
    <row r="10" spans="1:10">
      <c r="A10" s="11" t="s">
        <v>392</v>
      </c>
      <c r="B10" s="11">
        <f>B7^2</f>
        <v>0.865333806073875</v>
      </c>
      <c r="C10" s="11">
        <f>B7*C7</f>
        <v>6.4900031675846931E-2</v>
      </c>
      <c r="D10" s="11">
        <f>C7^2</f>
        <v>4.8675020922115094E-3</v>
      </c>
    </row>
    <row r="11" spans="1:10">
      <c r="A11" s="11" t="s">
        <v>393</v>
      </c>
      <c r="B11" s="11">
        <v>0.16</v>
      </c>
      <c r="C11" s="11">
        <v>0.2</v>
      </c>
      <c r="D11" s="11">
        <v>0.9</v>
      </c>
    </row>
    <row r="15" spans="1:10">
      <c r="A15" s="10" t="s">
        <v>153</v>
      </c>
      <c r="B15" s="10"/>
      <c r="C15" s="10"/>
      <c r="D15" s="10" t="s">
        <v>155</v>
      </c>
      <c r="E15" s="10" t="s">
        <v>156</v>
      </c>
      <c r="F15" s="10" t="s">
        <v>157</v>
      </c>
    </row>
    <row r="16" spans="1:10">
      <c r="A16" s="10" t="s">
        <v>396</v>
      </c>
      <c r="B16" s="11">
        <v>1</v>
      </c>
      <c r="C16" s="11">
        <v>1</v>
      </c>
      <c r="D16" s="106">
        <f>SUMPRODUCT(B7:C7,B16:C16)</f>
        <v>1.000000685758655</v>
      </c>
      <c r="E16" s="11" t="s">
        <v>256</v>
      </c>
      <c r="F16" s="106">
        <v>1</v>
      </c>
    </row>
    <row r="17" spans="1:6">
      <c r="A17" s="10" t="s">
        <v>397</v>
      </c>
      <c r="B17" s="105">
        <v>0.11</v>
      </c>
      <c r="C17" s="105">
        <v>0.08</v>
      </c>
      <c r="D17" s="106">
        <f>SUMPRODUCT(B7:C7,B17:C17)</f>
        <v>0.10790705085572003</v>
      </c>
      <c r="E17" s="11" t="s">
        <v>163</v>
      </c>
      <c r="F17" s="106">
        <v>0.09</v>
      </c>
    </row>
    <row r="18" spans="1:6">
      <c r="A18" s="10"/>
      <c r="B18" s="10"/>
      <c r="C18" s="10"/>
      <c r="D18" s="10"/>
      <c r="E18" s="10"/>
      <c r="F18" s="10"/>
    </row>
    <row r="19" spans="1:6">
      <c r="A19" s="10"/>
      <c r="B19" s="10"/>
      <c r="C19" s="10"/>
      <c r="D19" s="10"/>
      <c r="E19" s="10"/>
      <c r="F19" s="10"/>
    </row>
    <row r="20" spans="1:6">
      <c r="A20" s="10"/>
      <c r="B20" s="10"/>
      <c r="C20" s="10"/>
      <c r="D20" s="10"/>
      <c r="E20" s="10"/>
      <c r="F20" s="10"/>
    </row>
    <row r="22" spans="1:6">
      <c r="A22" t="s">
        <v>398</v>
      </c>
    </row>
  </sheetData>
  <mergeCells count="2">
    <mergeCell ref="A1:C1"/>
    <mergeCell ref="A2:B2"/>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58B24-3980-4ECE-96D2-2C366297D42A}">
  <dimension ref="A1:F16"/>
  <sheetViews>
    <sheetView workbookViewId="0">
      <selection activeCell="A17" sqref="A17"/>
    </sheetView>
  </sheetViews>
  <sheetFormatPr defaultRowHeight="14.5"/>
  <cols>
    <col min="1" max="1" width="17.90625" bestFit="1" customWidth="1"/>
  </cols>
  <sheetData>
    <row r="1" spans="1:6">
      <c r="A1" s="127" t="s">
        <v>399</v>
      </c>
      <c r="B1" s="127"/>
      <c r="C1" s="127"/>
      <c r="D1" s="127"/>
      <c r="E1" s="127"/>
      <c r="F1" s="127"/>
    </row>
    <row r="2" spans="1:6">
      <c r="B2" s="36" t="s">
        <v>406</v>
      </c>
      <c r="C2" s="36" t="s">
        <v>407</v>
      </c>
      <c r="D2" t="s">
        <v>404</v>
      </c>
      <c r="E2" t="s">
        <v>405</v>
      </c>
    </row>
    <row r="3" spans="1:6">
      <c r="A3" t="s">
        <v>148</v>
      </c>
      <c r="B3" s="111">
        <v>10</v>
      </c>
      <c r="C3" s="111">
        <v>15</v>
      </c>
      <c r="D3" s="110">
        <f>4-0.1*B3</f>
        <v>3</v>
      </c>
      <c r="E3" s="110">
        <f>5-0.02*C3</f>
        <v>4.7</v>
      </c>
    </row>
    <row r="5" spans="1:6">
      <c r="A5" t="s">
        <v>400</v>
      </c>
      <c r="B5" s="36" t="s">
        <v>167</v>
      </c>
      <c r="C5" s="36" t="s">
        <v>389</v>
      </c>
      <c r="D5" s="36" t="s">
        <v>168</v>
      </c>
      <c r="E5" s="36" t="s">
        <v>391</v>
      </c>
    </row>
    <row r="6" spans="1:6">
      <c r="A6" t="s">
        <v>401</v>
      </c>
      <c r="B6" s="36">
        <v>4</v>
      </c>
      <c r="C6" s="36">
        <v>-0.1</v>
      </c>
      <c r="D6" s="36">
        <v>5</v>
      </c>
      <c r="E6" s="36">
        <v>-0.02</v>
      </c>
    </row>
    <row r="7" spans="1:6">
      <c r="A7" t="s">
        <v>392</v>
      </c>
      <c r="B7" s="36">
        <f>B3*B6</f>
        <v>40</v>
      </c>
      <c r="C7" s="36">
        <f>C6*B3^2</f>
        <v>-10</v>
      </c>
      <c r="D7" s="36">
        <f>D6*C3</f>
        <v>75</v>
      </c>
      <c r="E7" s="36">
        <f>E6*C3^2</f>
        <v>-4.5</v>
      </c>
    </row>
    <row r="9" spans="1:6">
      <c r="A9" t="s">
        <v>178</v>
      </c>
    </row>
    <row r="10" spans="1:6">
      <c r="A10" t="s">
        <v>403</v>
      </c>
      <c r="B10" s="108">
        <f>B3*D3+C3*E3</f>
        <v>100.5</v>
      </c>
      <c r="C10" t="s">
        <v>408</v>
      </c>
    </row>
    <row r="12" spans="1:6">
      <c r="A12" s="109" t="s">
        <v>153</v>
      </c>
      <c r="B12" s="10"/>
      <c r="C12" s="10"/>
      <c r="D12" s="10" t="s">
        <v>155</v>
      </c>
      <c r="E12" s="10" t="s">
        <v>156</v>
      </c>
      <c r="F12" s="10" t="s">
        <v>157</v>
      </c>
    </row>
    <row r="13" spans="1:6">
      <c r="A13" s="11" t="s">
        <v>402</v>
      </c>
      <c r="B13" s="11">
        <v>1</v>
      </c>
      <c r="C13" s="11">
        <v>2</v>
      </c>
      <c r="D13" s="11">
        <f>SUMPRODUCT(B3:C3,B13:C13)</f>
        <v>40</v>
      </c>
      <c r="E13" s="11" t="s">
        <v>158</v>
      </c>
      <c r="F13" s="11">
        <v>40</v>
      </c>
    </row>
    <row r="16" spans="1:6">
      <c r="A16" t="s">
        <v>409</v>
      </c>
    </row>
  </sheetData>
  <mergeCells count="1">
    <mergeCell ref="A1:F1"/>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D0D3-F3F5-4A43-BA0A-B9C0605B683C}">
  <dimension ref="A2:E13"/>
  <sheetViews>
    <sheetView workbookViewId="0">
      <selection activeCell="C14" sqref="C14"/>
    </sheetView>
  </sheetViews>
  <sheetFormatPr defaultRowHeight="14.5"/>
  <cols>
    <col min="1" max="1" width="14.6328125" bestFit="1" customWidth="1"/>
    <col min="2" max="2" width="12.08984375" bestFit="1" customWidth="1"/>
  </cols>
  <sheetData>
    <row r="2" spans="1:5">
      <c r="B2" t="s">
        <v>167</v>
      </c>
    </row>
    <row r="3" spans="1:5">
      <c r="A3" t="s">
        <v>411</v>
      </c>
      <c r="B3" s="107">
        <v>0</v>
      </c>
    </row>
    <row r="5" spans="1:5">
      <c r="A5" t="s">
        <v>410</v>
      </c>
      <c r="B5" s="113">
        <f>-0.001*B3+4</f>
        <v>4</v>
      </c>
    </row>
    <row r="6" spans="1:5">
      <c r="B6" s="113"/>
    </row>
    <row r="7" spans="1:5">
      <c r="A7" t="s">
        <v>412</v>
      </c>
      <c r="B7" s="112">
        <v>0.8</v>
      </c>
    </row>
    <row r="8" spans="1:5">
      <c r="A8" t="s">
        <v>413</v>
      </c>
      <c r="B8" s="34">
        <v>1500</v>
      </c>
    </row>
    <row r="9" spans="1:5">
      <c r="A9" t="s">
        <v>178</v>
      </c>
    </row>
    <row r="10" spans="1:5">
      <c r="A10" t="s">
        <v>18</v>
      </c>
      <c r="B10" s="114">
        <f>B5-B7</f>
        <v>3.2</v>
      </c>
    </row>
    <row r="12" spans="1:5">
      <c r="A12" t="s">
        <v>172</v>
      </c>
    </row>
    <row r="13" spans="1:5">
      <c r="B13">
        <v>1</v>
      </c>
      <c r="C13" s="48">
        <f>B5*B13</f>
        <v>4</v>
      </c>
      <c r="D13" t="s">
        <v>163</v>
      </c>
      <c r="E13">
        <v>2.5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2EE6E-F0D7-4C2F-8A53-54465C8A8FD7}">
  <dimension ref="A2:F24"/>
  <sheetViews>
    <sheetView workbookViewId="0">
      <selection activeCell="E25" sqref="E25"/>
    </sheetView>
  </sheetViews>
  <sheetFormatPr defaultRowHeight="14.5"/>
  <cols>
    <col min="1" max="1" width="10.08984375" bestFit="1" customWidth="1"/>
    <col min="2" max="2" width="11.08984375" bestFit="1" customWidth="1"/>
    <col min="3" max="3" width="10.453125" bestFit="1" customWidth="1"/>
  </cols>
  <sheetData>
    <row r="2" spans="1:6">
      <c r="B2" t="s">
        <v>414</v>
      </c>
      <c r="C2" t="s">
        <v>415</v>
      </c>
    </row>
    <row r="3" spans="1:6">
      <c r="A3" t="s">
        <v>416</v>
      </c>
      <c r="B3">
        <v>35</v>
      </c>
      <c r="C3">
        <v>50</v>
      </c>
    </row>
    <row r="4" spans="1:6">
      <c r="A4" t="s">
        <v>18</v>
      </c>
      <c r="B4" s="29">
        <v>80</v>
      </c>
      <c r="C4" s="29">
        <v>45</v>
      </c>
      <c r="D4" t="s">
        <v>155</v>
      </c>
      <c r="E4" t="s">
        <v>156</v>
      </c>
      <c r="F4" t="s">
        <v>157</v>
      </c>
    </row>
    <row r="5" spans="1:6">
      <c r="A5" t="s">
        <v>418</v>
      </c>
      <c r="B5">
        <v>3</v>
      </c>
      <c r="C5">
        <v>5</v>
      </c>
      <c r="D5">
        <f>SUMPRODUCT(B3:C3,B5:C5)</f>
        <v>355</v>
      </c>
      <c r="E5" t="s">
        <v>158</v>
      </c>
      <c r="F5">
        <v>360</v>
      </c>
    </row>
    <row r="6" spans="1:6">
      <c r="A6" t="s">
        <v>417</v>
      </c>
      <c r="B6">
        <v>4</v>
      </c>
      <c r="C6">
        <v>2</v>
      </c>
      <c r="D6">
        <f>SUMPRODUCT(B3:C3,B6:C6)</f>
        <v>240</v>
      </c>
      <c r="E6" t="s">
        <v>158</v>
      </c>
      <c r="F6">
        <v>240</v>
      </c>
    </row>
    <row r="8" spans="1:6">
      <c r="A8" t="s">
        <v>205</v>
      </c>
    </row>
    <row r="9" spans="1:6">
      <c r="A9" t="s">
        <v>18</v>
      </c>
      <c r="B9">
        <f>SUMPRODUCT(B3:C3,B4:C4)</f>
        <v>5050</v>
      </c>
    </row>
    <row r="14" spans="1:6">
      <c r="B14" t="s">
        <v>419</v>
      </c>
      <c r="C14" t="s">
        <v>421</v>
      </c>
    </row>
    <row r="15" spans="1:6">
      <c r="B15" s="29">
        <v>0</v>
      </c>
      <c r="C15" s="29">
        <f>-10000*B15+70000</f>
        <v>70000</v>
      </c>
    </row>
    <row r="17" spans="1:6">
      <c r="A17" t="s">
        <v>420</v>
      </c>
      <c r="B17" s="48">
        <v>0.6</v>
      </c>
      <c r="C17" s="48">
        <f>-10000*B17+70000</f>
        <v>64000</v>
      </c>
    </row>
    <row r="18" spans="1:6">
      <c r="A18" t="s">
        <v>58</v>
      </c>
      <c r="B18" s="29">
        <v>2500</v>
      </c>
      <c r="C18" s="29">
        <v>2500</v>
      </c>
    </row>
    <row r="19" spans="1:6">
      <c r="C19" s="115">
        <f>SUM(C17:C18)</f>
        <v>66500</v>
      </c>
    </row>
    <row r="21" spans="1:6">
      <c r="A21" t="s">
        <v>422</v>
      </c>
    </row>
    <row r="22" spans="1:6">
      <c r="A22" t="s">
        <v>20</v>
      </c>
      <c r="B22" s="48">
        <f>C15-C19</f>
        <v>3500</v>
      </c>
    </row>
    <row r="23" spans="1:6">
      <c r="B23">
        <v>1</v>
      </c>
      <c r="D23">
        <f>SUMPRODUCT(B15,B23)</f>
        <v>0</v>
      </c>
      <c r="E23" t="s">
        <v>256</v>
      </c>
      <c r="F23" s="48">
        <v>0.6</v>
      </c>
    </row>
    <row r="24" spans="1:6">
      <c r="B24">
        <v>1</v>
      </c>
      <c r="D24">
        <f>SUMPRODUCT(B15,B24)</f>
        <v>0</v>
      </c>
      <c r="E24" t="s">
        <v>256</v>
      </c>
      <c r="F24" s="29">
        <v>2500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ONE-WAY TABLE</vt:lpstr>
      <vt:lpstr>TWO-WAY TABLE</vt:lpstr>
      <vt:lpstr>Sheet1</vt:lpstr>
      <vt:lpstr>Sheet 2</vt:lpstr>
      <vt:lpstr>QUESTION FOR &gt;&gt;&gt;</vt:lpstr>
      <vt:lpstr>Modeling Demand and Price</vt:lpstr>
      <vt:lpstr>Sheet3</vt:lpstr>
      <vt:lpstr>MODELING NPV</vt:lpstr>
      <vt:lpstr>Linear Programming</vt:lpstr>
      <vt:lpstr>Sheet4</vt:lpstr>
      <vt:lpstr>LP and Net Profit</vt:lpstr>
      <vt:lpstr>Sheet5</vt:lpstr>
      <vt:lpstr>Investment Allocation With LP</vt:lpstr>
      <vt:lpstr>Sheet7</vt:lpstr>
      <vt:lpstr>LP and Transportation</vt:lpstr>
      <vt:lpstr>Sheet9</vt:lpstr>
      <vt:lpstr>Sheet10</vt:lpstr>
      <vt:lpstr>TRANSPORTATION PROBLEM 1</vt:lpstr>
      <vt:lpstr>Transportation-Assignment</vt:lpstr>
      <vt:lpstr>&lt;&lt;&lt;Exampe</vt:lpstr>
      <vt:lpstr>College Professors' Assignment</vt:lpstr>
      <vt:lpstr>Umbrella Store Assignment</vt:lpstr>
      <vt:lpstr>Maxie's Workers Assingment</vt:lpstr>
      <vt:lpstr>INTEGER PROGRAMMING</vt:lpstr>
      <vt:lpstr>MIXED INTERGER PROGRAMMING</vt:lpstr>
      <vt:lpstr>Try Work</vt:lpstr>
      <vt:lpstr>Sheet2</vt:lpstr>
      <vt:lpstr>Non-Linear Programming </vt:lpstr>
      <vt:lpstr>NL PROGRAMMING example</vt:lpstr>
      <vt:lpstr>Sheet11</vt:lpstr>
      <vt:lpstr>Sheet12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Atiemo Osei</dc:creator>
  <cp:lastModifiedBy>Atiemo Osei</cp:lastModifiedBy>
  <dcterms:created xsi:type="dcterms:W3CDTF">2024-01-05T00:53:33Z</dcterms:created>
  <dcterms:modified xsi:type="dcterms:W3CDTF">2024-01-13T16:16:15Z</dcterms:modified>
</cp:coreProperties>
</file>