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9120" windowHeight="3705" activeTab="4"/>
  </bookViews>
  <sheets>
    <sheet name="Sheet1" sheetId="1" r:id="rId1"/>
    <sheet name="Rx Reading" sheetId="2" r:id="rId2"/>
    <sheet name="Throttle Range" sheetId="3" r:id="rId3"/>
    <sheet name="Sheet2" sheetId="4" r:id="rId4"/>
    <sheet name="Timer" sheetId="5" r:id="rId5"/>
  </sheets>
  <calcPr calcId="145621"/>
</workbook>
</file>

<file path=xl/calcChain.xml><?xml version="1.0" encoding="utf-8"?>
<calcChain xmlns="http://schemas.openxmlformats.org/spreadsheetml/2006/main">
  <c r="F7" i="5" l="1"/>
  <c r="F8" i="5"/>
  <c r="F9" i="5"/>
  <c r="F10" i="5"/>
  <c r="E7" i="5"/>
  <c r="E8" i="5"/>
  <c r="E9" i="5"/>
  <c r="E10" i="5"/>
  <c r="G10" i="5" s="1"/>
  <c r="H10" i="5" s="1"/>
  <c r="D7" i="5"/>
  <c r="D8" i="5"/>
  <c r="D9" i="5"/>
  <c r="D10" i="5"/>
  <c r="G8" i="5"/>
  <c r="H8" i="5" s="1"/>
  <c r="I10" i="4" l="1"/>
  <c r="O20" i="3" l="1"/>
  <c r="O17" i="3"/>
  <c r="P19" i="3"/>
  <c r="P18" i="3"/>
  <c r="O19" i="3"/>
  <c r="P20" i="3"/>
  <c r="P17" i="3"/>
  <c r="Q20" i="3"/>
  <c r="N20" i="3"/>
  <c r="R20" i="3" s="1"/>
  <c r="Q19" i="3"/>
  <c r="N19" i="3"/>
  <c r="Q18" i="3"/>
  <c r="O18" i="3"/>
  <c r="N18" i="3"/>
  <c r="Q17" i="3"/>
  <c r="N17" i="3"/>
  <c r="R18" i="3" l="1"/>
  <c r="R17" i="3"/>
  <c r="R19" i="3"/>
  <c r="H17" i="3"/>
  <c r="G20" i="3"/>
  <c r="F19" i="3"/>
  <c r="F18" i="3"/>
  <c r="H19" i="3"/>
  <c r="G17" i="3"/>
  <c r="H18" i="3"/>
  <c r="H20" i="3"/>
  <c r="E18" i="3"/>
  <c r="E19" i="3"/>
  <c r="E20" i="3"/>
  <c r="E17" i="3"/>
  <c r="J4" i="2"/>
  <c r="J5" i="2"/>
  <c r="J6" i="2"/>
  <c r="J7" i="2"/>
  <c r="J8" i="2"/>
  <c r="K4" i="2"/>
  <c r="K5" i="2"/>
  <c r="K6" i="2"/>
  <c r="K7" i="2"/>
  <c r="K8" i="2"/>
  <c r="G4" i="2"/>
  <c r="G5" i="2"/>
  <c r="G6" i="2"/>
  <c r="G7" i="2"/>
  <c r="G8" i="2"/>
  <c r="I5" i="2"/>
  <c r="I6" i="2"/>
  <c r="I7" i="2"/>
  <c r="I8" i="2"/>
  <c r="H5" i="2"/>
  <c r="H6" i="2"/>
  <c r="H7" i="2"/>
  <c r="H8" i="2"/>
  <c r="H4" i="2"/>
  <c r="I4" i="2" s="1"/>
  <c r="K8" i="1"/>
  <c r="J8" i="1"/>
  <c r="I8" i="1"/>
  <c r="H8" i="1"/>
  <c r="I6" i="1"/>
  <c r="H6" i="1"/>
  <c r="G11" i="1"/>
  <c r="G10" i="1"/>
  <c r="R21" i="3" l="1"/>
  <c r="I18" i="3"/>
  <c r="I17" i="3"/>
  <c r="I19" i="3"/>
  <c r="I20" i="3"/>
  <c r="I21" i="3" l="1"/>
</calcChain>
</file>

<file path=xl/sharedStrings.xml><?xml version="1.0" encoding="utf-8"?>
<sst xmlns="http://schemas.openxmlformats.org/spreadsheetml/2006/main" count="84" uniqueCount="57">
  <si>
    <t>Thr</t>
  </si>
  <si>
    <t>min</t>
  </si>
  <si>
    <t>max</t>
  </si>
  <si>
    <t>Rud</t>
  </si>
  <si>
    <t>AIL</t>
  </si>
  <si>
    <t>ELE</t>
  </si>
  <si>
    <t>ail</t>
  </si>
  <si>
    <t>Ele</t>
  </si>
  <si>
    <t>Aux</t>
  </si>
  <si>
    <t>range</t>
  </si>
  <si>
    <t>Original PIN</t>
  </si>
  <si>
    <t>PINs</t>
  </si>
  <si>
    <t>Range Div</t>
  </si>
  <si>
    <t>Range/Div</t>
  </si>
  <si>
    <t>Min2</t>
  </si>
  <si>
    <t>Max2</t>
  </si>
  <si>
    <t>mid</t>
  </si>
  <si>
    <t>dAcc</t>
  </si>
  <si>
    <t>Throttle</t>
  </si>
  <si>
    <t>Rudder</t>
  </si>
  <si>
    <t>Aileron</t>
  </si>
  <si>
    <t>Elevator</t>
  </si>
  <si>
    <t>RX</t>
  </si>
  <si>
    <t>Sensors</t>
  </si>
  <si>
    <t>Motors</t>
  </si>
  <si>
    <t>M1</t>
  </si>
  <si>
    <t>M2</t>
  </si>
  <si>
    <t>M3</t>
  </si>
  <si>
    <t>M4</t>
  </si>
  <si>
    <t>Coll</t>
  </si>
  <si>
    <t>Roll</t>
  </si>
  <si>
    <t>Pitch</t>
  </si>
  <si>
    <t>Yaw</t>
  </si>
  <si>
    <t>Total</t>
  </si>
  <si>
    <t>Value</t>
  </si>
  <si>
    <t>Factor</t>
  </si>
  <si>
    <t>Gyro(P)</t>
  </si>
  <si>
    <t>Gyro( R)</t>
  </si>
  <si>
    <t>Gyro(Y)</t>
  </si>
  <si>
    <t>X2</t>
  </si>
  <si>
    <t>X1</t>
  </si>
  <si>
    <t>Y2</t>
  </si>
  <si>
    <t>Y1</t>
  </si>
  <si>
    <t>Gyro Value</t>
  </si>
  <si>
    <t>Output</t>
  </si>
  <si>
    <t>Timer</t>
  </si>
  <si>
    <t>Scale</t>
  </si>
  <si>
    <t>OV Time</t>
  </si>
  <si>
    <t>TCNT_X OV</t>
  </si>
  <si>
    <t>1 Sec Count</t>
  </si>
  <si>
    <t>Timer 0</t>
  </si>
  <si>
    <t>Timer 1</t>
  </si>
  <si>
    <t>Timer1H</t>
  </si>
  <si>
    <t>Timer 2</t>
  </si>
  <si>
    <t>CLK</t>
  </si>
  <si>
    <t>Tick time (sec)</t>
  </si>
  <si>
    <t>Frequency 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</si>
</sst>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#,##0.000000000"/>
    <numFmt numFmtId="167" formatCode="0.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0" xfId="0" applyNumberFormat="1"/>
    <xf numFmtId="3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</cellXfs>
  <cellStyles count="1">
    <cellStyle name="Normal" xfId="0" builtinId="0"/>
  </cellStyles>
  <dxfs count="20">
    <dxf>
      <numFmt numFmtId="167" formatCode="0.000000000"/>
      <alignment horizontal="center" vertical="center" textRotation="0" wrapText="0" indent="0" justifyLastLine="0" shrinkToFit="0" readingOrder="0"/>
    </dxf>
    <dxf>
      <numFmt numFmtId="166" formatCode="#,##0.0000000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D3:L8" totalsRowShown="0" headerRowDxfId="19" dataDxfId="18">
  <autoFilter ref="D3:L8"/>
  <tableColumns count="9">
    <tableColumn id="1" name="PINs" dataDxfId="17"/>
    <tableColumn id="2" name="min" dataDxfId="16"/>
    <tableColumn id="3" name="max" dataDxfId="15"/>
    <tableColumn id="10" name="mid" dataDxfId="14">
      <calculatedColumnFormula>(Table1[[#This Row],[max]]+Table1[[#This Row],[min]])/2</calculatedColumnFormula>
    </tableColumn>
    <tableColumn id="4" name="range" dataDxfId="13">
      <calculatedColumnFormula>F4-E4</calculatedColumnFormula>
    </tableColumn>
    <tableColumn id="6" name="Range/Div" dataDxfId="12">
      <calculatedColumnFormula>Table1[[#This Row],[range]]/$E$10</calculatedColumnFormula>
    </tableColumn>
    <tableColumn id="8" name="Min2" dataDxfId="11">
      <calculatedColumnFormula>(Table1[[#This Row],[min]]-Table1[[#This Row],[mid]])/$E$10</calculatedColumnFormula>
    </tableColumn>
    <tableColumn id="9" name="Max2" dataDxfId="10">
      <calculatedColumnFormula>(Table1[[#This Row],[max]]-Table1[[#This Row],[mid]])/$E$10</calculatedColumnFormula>
    </tableColumn>
    <tableColumn id="5" name="Original PIN" dataDxfId="9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6:H10" totalsRowShown="0" headerRowDxfId="4" dataDxfId="3">
  <autoFilter ref="B6:H10"/>
  <tableColumns count="7">
    <tableColumn id="1" name="Timer" dataDxfId="8"/>
    <tableColumn id="2" name="Scale" dataDxfId="7"/>
    <tableColumn id="7" name="Frequency Hz" dataDxfId="2">
      <calculatedColumnFormula>$E$4/Table2[[#This Row],[Scale]]</calculatedColumnFormula>
    </tableColumn>
    <tableColumn id="3" name="Tick time (sec)" dataDxfId="1">
      <calculatedColumnFormula>1/Table2[[#This Row],[Frequency Hz]]</calculatedColumnFormula>
    </tableColumn>
    <tableColumn id="4" name="OV Time" dataDxfId="0">
      <calculatedColumnFormula>256*Table2[[#This Row],[Tick time (sec)]]</calculatedColumnFormula>
    </tableColumn>
    <tableColumn id="5" name="TCNT_X OV" dataDxfId="6"/>
    <tableColumn id="6" name="1 Sec Count" dataDxfId="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K11"/>
  <sheetViews>
    <sheetView workbookViewId="0">
      <selection activeCell="K9" sqref="K9"/>
    </sheetView>
  </sheetViews>
  <sheetFormatPr defaultRowHeight="15" x14ac:dyDescent="0.25"/>
  <sheetData>
    <row r="6" spans="6:11" x14ac:dyDescent="0.25">
      <c r="F6">
        <v>90</v>
      </c>
      <c r="G6">
        <v>745</v>
      </c>
      <c r="H6">
        <f>G6-G7</f>
        <v>123</v>
      </c>
      <c r="I6">
        <f>H6*0.72</f>
        <v>88.56</v>
      </c>
    </row>
    <row r="7" spans="6:11" x14ac:dyDescent="0.25">
      <c r="F7">
        <v>0</v>
      </c>
      <c r="G7">
        <v>622</v>
      </c>
    </row>
    <row r="8" spans="6:11" x14ac:dyDescent="0.25">
      <c r="F8">
        <v>-90</v>
      </c>
      <c r="G8">
        <v>495</v>
      </c>
      <c r="H8">
        <f>G7-G8</f>
        <v>127</v>
      </c>
      <c r="I8">
        <f>(G8+G6)/2</f>
        <v>620</v>
      </c>
      <c r="J8">
        <f>I8-G8</f>
        <v>125</v>
      </c>
      <c r="K8">
        <f>90/125</f>
        <v>0.72</v>
      </c>
    </row>
    <row r="10" spans="6:11" x14ac:dyDescent="0.25">
      <c r="G10">
        <f>90/(G7-G6)</f>
        <v>-0.73170731707317072</v>
      </c>
    </row>
    <row r="11" spans="6:11" x14ac:dyDescent="0.25">
      <c r="G11">
        <f>F8/(G7-G8)</f>
        <v>-0.70866141732283461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10"/>
  <sheetViews>
    <sheetView workbookViewId="0">
      <selection activeCell="E21" sqref="E21"/>
    </sheetView>
  </sheetViews>
  <sheetFormatPr defaultRowHeight="15" x14ac:dyDescent="0.25"/>
  <cols>
    <col min="4" max="4" width="11" customWidth="1"/>
    <col min="9" max="11" width="10.28515625" customWidth="1"/>
    <col min="12" max="12" width="13.7109375" customWidth="1"/>
  </cols>
  <sheetData>
    <row r="3" spans="4:12" ht="23.25" customHeight="1" x14ac:dyDescent="0.25">
      <c r="D3" s="2" t="s">
        <v>11</v>
      </c>
      <c r="E3" s="2" t="s">
        <v>1</v>
      </c>
      <c r="F3" s="2" t="s">
        <v>2</v>
      </c>
      <c r="G3" s="2" t="s">
        <v>16</v>
      </c>
      <c r="H3" s="2" t="s">
        <v>9</v>
      </c>
      <c r="I3" s="2" t="s">
        <v>13</v>
      </c>
      <c r="J3" s="2" t="s">
        <v>14</v>
      </c>
      <c r="K3" s="2" t="s">
        <v>15</v>
      </c>
      <c r="L3" s="2" t="s">
        <v>10</v>
      </c>
    </row>
    <row r="4" spans="4:12" x14ac:dyDescent="0.25">
      <c r="D4" s="2" t="s">
        <v>0</v>
      </c>
      <c r="E4" s="2">
        <v>22300</v>
      </c>
      <c r="F4" s="2">
        <v>38017</v>
      </c>
      <c r="G4" s="2">
        <f>(Table1[[#This Row],[max]]+Table1[[#This Row],[min]])/2</f>
        <v>30158.5</v>
      </c>
      <c r="H4" s="2">
        <f>F4-E4</f>
        <v>15717</v>
      </c>
      <c r="I4" s="2">
        <f>Table1[[#This Row],[range]]/$E$10</f>
        <v>982.3125</v>
      </c>
      <c r="J4" s="2">
        <f>(Table1[[#This Row],[min]]-Table1[[#This Row],[mid]])/$E$10</f>
        <v>-491.15625</v>
      </c>
      <c r="K4" s="2">
        <f>(Table1[[#This Row],[max]]-Table1[[#This Row],[mid]])/$E$10</f>
        <v>491.15625</v>
      </c>
      <c r="L4" s="2" t="s">
        <v>6</v>
      </c>
    </row>
    <row r="5" spans="4:12" x14ac:dyDescent="0.25">
      <c r="D5" s="2" t="s">
        <v>3</v>
      </c>
      <c r="E5" s="2">
        <v>22231</v>
      </c>
      <c r="F5" s="2">
        <v>38176</v>
      </c>
      <c r="G5" s="2">
        <f>(Table1[[#This Row],[max]]+Table1[[#This Row],[min]])/2</f>
        <v>30203.5</v>
      </c>
      <c r="H5" s="2">
        <f t="shared" ref="H5:H8" si="0">F5-E5</f>
        <v>15945</v>
      </c>
      <c r="I5" s="2">
        <f>Table1[[#This Row],[range]]/$E$10</f>
        <v>996.5625</v>
      </c>
      <c r="J5" s="2">
        <f>(Table1[[#This Row],[min]]-Table1[[#This Row],[mid]])/$E$10</f>
        <v>-498.28125</v>
      </c>
      <c r="K5" s="2">
        <f>(Table1[[#This Row],[max]]-Table1[[#This Row],[mid]])/$E$10</f>
        <v>498.28125</v>
      </c>
      <c r="L5" s="2" t="s">
        <v>3</v>
      </c>
    </row>
    <row r="6" spans="4:12" x14ac:dyDescent="0.25">
      <c r="D6" s="2" t="s">
        <v>4</v>
      </c>
      <c r="E6" s="2">
        <v>22140</v>
      </c>
      <c r="F6" s="2">
        <v>38248</v>
      </c>
      <c r="G6" s="2">
        <f>(Table1[[#This Row],[max]]+Table1[[#This Row],[min]])/2</f>
        <v>30194</v>
      </c>
      <c r="H6" s="2">
        <f t="shared" si="0"/>
        <v>16108</v>
      </c>
      <c r="I6" s="2">
        <f>Table1[[#This Row],[range]]/$E$10</f>
        <v>1006.75</v>
      </c>
      <c r="J6" s="2">
        <f>(Table1[[#This Row],[min]]-Table1[[#This Row],[mid]])/$E$10</f>
        <v>-503.375</v>
      </c>
      <c r="K6" s="2">
        <f>(Table1[[#This Row],[max]]-Table1[[#This Row],[mid]])/$E$10</f>
        <v>503.375</v>
      </c>
      <c r="L6" s="2" t="s">
        <v>7</v>
      </c>
    </row>
    <row r="7" spans="4:12" x14ac:dyDescent="0.25">
      <c r="D7" s="2" t="s">
        <v>5</v>
      </c>
      <c r="E7" s="2">
        <v>22397</v>
      </c>
      <c r="F7" s="2">
        <v>38110</v>
      </c>
      <c r="G7" s="2">
        <f>(Table1[[#This Row],[max]]+Table1[[#This Row],[min]])/2</f>
        <v>30253.5</v>
      </c>
      <c r="H7" s="2">
        <f t="shared" si="0"/>
        <v>15713</v>
      </c>
      <c r="I7" s="2">
        <f>Table1[[#This Row],[range]]/$E$10</f>
        <v>982.0625</v>
      </c>
      <c r="J7" s="2">
        <f>(Table1[[#This Row],[min]]-Table1[[#This Row],[mid]])/$E$10</f>
        <v>-491.03125</v>
      </c>
      <c r="K7" s="2">
        <f>(Table1[[#This Row],[max]]-Table1[[#This Row],[mid]])/$E$10</f>
        <v>491.03125</v>
      </c>
      <c r="L7" s="2" t="s">
        <v>0</v>
      </c>
    </row>
    <row r="8" spans="4:12" x14ac:dyDescent="0.25">
      <c r="D8" s="2" t="s">
        <v>8</v>
      </c>
      <c r="E8" s="2">
        <v>20715</v>
      </c>
      <c r="F8" s="2">
        <v>33690</v>
      </c>
      <c r="G8" s="2">
        <f>(Table1[[#This Row],[max]]+Table1[[#This Row],[min]])/2</f>
        <v>27202.5</v>
      </c>
      <c r="H8" s="2">
        <f t="shared" si="0"/>
        <v>12975</v>
      </c>
      <c r="I8" s="2">
        <f>Table1[[#This Row],[range]]/$E$10</f>
        <v>810.9375</v>
      </c>
      <c r="J8" s="2">
        <f>(Table1[[#This Row],[min]]-Table1[[#This Row],[mid]])/$E$10</f>
        <v>-405.46875</v>
      </c>
      <c r="K8" s="2">
        <f>(Table1[[#This Row],[max]]-Table1[[#This Row],[mid]])/$E$10</f>
        <v>405.46875</v>
      </c>
      <c r="L8" s="2" t="s">
        <v>8</v>
      </c>
    </row>
    <row r="10" spans="4:12" x14ac:dyDescent="0.25">
      <c r="D10" t="s">
        <v>12</v>
      </c>
      <c r="E10" s="1">
        <v>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R21"/>
  <sheetViews>
    <sheetView workbookViewId="0">
      <selection activeCell="L22" sqref="L22"/>
    </sheetView>
  </sheetViews>
  <sheetFormatPr defaultRowHeight="15" x14ac:dyDescent="0.25"/>
  <sheetData>
    <row r="4" spans="3:18" x14ac:dyDescent="0.25">
      <c r="E4" s="1" t="s">
        <v>34</v>
      </c>
      <c r="F4" s="1" t="s">
        <v>35</v>
      </c>
      <c r="N4" s="1" t="s">
        <v>34</v>
      </c>
      <c r="O4" s="1" t="s">
        <v>35</v>
      </c>
    </row>
    <row r="5" spans="3:18" x14ac:dyDescent="0.25">
      <c r="C5" s="14" t="s">
        <v>23</v>
      </c>
      <c r="D5" s="11" t="s">
        <v>36</v>
      </c>
      <c r="E5" s="3">
        <v>4</v>
      </c>
      <c r="F5" s="3">
        <v>1</v>
      </c>
      <c r="L5" s="14" t="s">
        <v>23</v>
      </c>
      <c r="M5" s="11" t="s">
        <v>36</v>
      </c>
      <c r="N5" s="12">
        <v>4</v>
      </c>
      <c r="O5" s="12">
        <v>1</v>
      </c>
    </row>
    <row r="6" spans="3:18" x14ac:dyDescent="0.25">
      <c r="C6" s="14"/>
      <c r="D6" s="11" t="s">
        <v>37</v>
      </c>
      <c r="E6" s="3">
        <v>0</v>
      </c>
      <c r="F6" s="3">
        <v>1</v>
      </c>
      <c r="L6" s="14"/>
      <c r="M6" s="11" t="s">
        <v>37</v>
      </c>
      <c r="N6" s="12">
        <v>0</v>
      </c>
      <c r="O6" s="12">
        <v>1</v>
      </c>
    </row>
    <row r="7" spans="3:18" x14ac:dyDescent="0.25">
      <c r="C7" s="14"/>
      <c r="D7" s="11" t="s">
        <v>38</v>
      </c>
      <c r="E7" s="3">
        <v>0</v>
      </c>
      <c r="F7" s="3">
        <v>1</v>
      </c>
      <c r="L7" s="14"/>
      <c r="M7" s="11" t="s">
        <v>38</v>
      </c>
      <c r="N7" s="12">
        <v>0</v>
      </c>
      <c r="O7" s="12">
        <v>1</v>
      </c>
    </row>
    <row r="8" spans="3:18" x14ac:dyDescent="0.25">
      <c r="C8" s="14"/>
      <c r="D8" s="11" t="s">
        <v>17</v>
      </c>
      <c r="E8" s="3"/>
      <c r="F8" s="3">
        <v>1</v>
      </c>
      <c r="L8" s="14"/>
      <c r="M8" s="11" t="s">
        <v>17</v>
      </c>
      <c r="N8" s="12"/>
      <c r="O8" s="12">
        <v>1</v>
      </c>
    </row>
    <row r="9" spans="3:18" x14ac:dyDescent="0.25">
      <c r="E9" s="1"/>
      <c r="F9" s="1"/>
      <c r="N9" s="1"/>
      <c r="O9" s="1"/>
    </row>
    <row r="10" spans="3:18" x14ac:dyDescent="0.25">
      <c r="C10" s="14" t="s">
        <v>22</v>
      </c>
      <c r="D10" s="11" t="s">
        <v>18</v>
      </c>
      <c r="E10" s="3">
        <v>10</v>
      </c>
      <c r="F10" s="3">
        <v>1</v>
      </c>
      <c r="L10" s="14" t="s">
        <v>22</v>
      </c>
      <c r="M10" s="11" t="s">
        <v>18</v>
      </c>
      <c r="N10" s="12">
        <v>10</v>
      </c>
      <c r="O10" s="12">
        <v>1</v>
      </c>
    </row>
    <row r="11" spans="3:18" x14ac:dyDescent="0.25">
      <c r="C11" s="14"/>
      <c r="D11" s="11" t="s">
        <v>19</v>
      </c>
      <c r="E11" s="3">
        <v>8</v>
      </c>
      <c r="F11" s="3">
        <v>1</v>
      </c>
      <c r="L11" s="14"/>
      <c r="M11" s="11" t="s">
        <v>19</v>
      </c>
      <c r="N11" s="12">
        <v>8</v>
      </c>
      <c r="O11" s="12">
        <v>1</v>
      </c>
    </row>
    <row r="12" spans="3:18" x14ac:dyDescent="0.25">
      <c r="C12" s="14"/>
      <c r="D12" s="11" t="s">
        <v>20</v>
      </c>
      <c r="E12" s="3">
        <v>0</v>
      </c>
      <c r="F12" s="3">
        <v>1</v>
      </c>
      <c r="L12" s="14"/>
      <c r="M12" s="11" t="s">
        <v>20</v>
      </c>
      <c r="N12" s="12">
        <v>0</v>
      </c>
      <c r="O12" s="12">
        <v>1</v>
      </c>
    </row>
    <row r="13" spans="3:18" x14ac:dyDescent="0.25">
      <c r="C13" s="14"/>
      <c r="D13" s="11" t="s">
        <v>21</v>
      </c>
      <c r="E13" s="3">
        <v>0</v>
      </c>
      <c r="F13" s="3">
        <v>1</v>
      </c>
      <c r="L13" s="14"/>
      <c r="M13" s="11" t="s">
        <v>21</v>
      </c>
      <c r="N13" s="12">
        <v>0</v>
      </c>
      <c r="O13" s="12">
        <v>1</v>
      </c>
    </row>
    <row r="15" spans="3:18" ht="15.75" thickBot="1" x14ac:dyDescent="0.3"/>
    <row r="16" spans="3:18" ht="15.75" thickBot="1" x14ac:dyDescent="0.3">
      <c r="E16" s="6" t="s">
        <v>29</v>
      </c>
      <c r="F16" s="7" t="s">
        <v>30</v>
      </c>
      <c r="G16" s="7" t="s">
        <v>31</v>
      </c>
      <c r="H16" s="7" t="s">
        <v>32</v>
      </c>
      <c r="I16" s="8" t="s">
        <v>33</v>
      </c>
      <c r="N16" s="6" t="s">
        <v>29</v>
      </c>
      <c r="O16" s="7" t="s">
        <v>30</v>
      </c>
      <c r="P16" s="7" t="s">
        <v>31</v>
      </c>
      <c r="Q16" s="7" t="s">
        <v>32</v>
      </c>
      <c r="R16" s="8" t="s">
        <v>33</v>
      </c>
    </row>
    <row r="17" spans="3:18" ht="15.75" thickTop="1" x14ac:dyDescent="0.25">
      <c r="C17" s="14" t="s">
        <v>24</v>
      </c>
      <c r="D17" s="11" t="s">
        <v>25</v>
      </c>
      <c r="E17" s="9">
        <f>$E$10</f>
        <v>10</v>
      </c>
      <c r="F17" s="5"/>
      <c r="G17" s="4">
        <f>(F13*E13)+(F5*E5)</f>
        <v>4</v>
      </c>
      <c r="H17" s="4">
        <f>(F11*E11)+(F7*E7)</f>
        <v>8</v>
      </c>
      <c r="I17" s="4">
        <f>SUM(E17:H17)</f>
        <v>22</v>
      </c>
      <c r="L17" s="14" t="s">
        <v>24</v>
      </c>
      <c r="M17" s="11" t="s">
        <v>25</v>
      </c>
      <c r="N17" s="9">
        <f>$E$10</f>
        <v>10</v>
      </c>
      <c r="O17" s="4">
        <f>-0.5*N6</f>
        <v>0</v>
      </c>
      <c r="P17" s="4">
        <f>(O13*N13)+(O5*N5)</f>
        <v>4</v>
      </c>
      <c r="Q17" s="4">
        <f>(O11*N11)+(O7*N7)</f>
        <v>8</v>
      </c>
      <c r="R17" s="4">
        <f>SUM(N17:Q17)</f>
        <v>22</v>
      </c>
    </row>
    <row r="18" spans="3:18" x14ac:dyDescent="0.25">
      <c r="C18" s="14"/>
      <c r="D18" s="11" t="s">
        <v>26</v>
      </c>
      <c r="E18" s="10">
        <f t="shared" ref="E18:E20" si="0">$E$10</f>
        <v>10</v>
      </c>
      <c r="F18" s="3">
        <f>(F12*E12)+(F6*E6)</f>
        <v>0</v>
      </c>
      <c r="G18" s="3"/>
      <c r="H18" s="3">
        <f>-(F11*E11)-(F7*E7)</f>
        <v>-8</v>
      </c>
      <c r="I18" s="3">
        <f t="shared" ref="I18:I20" si="1">SUM(E18:H18)</f>
        <v>2</v>
      </c>
      <c r="L18" s="14"/>
      <c r="M18" s="11" t="s">
        <v>26</v>
      </c>
      <c r="N18" s="10">
        <f t="shared" ref="N18:N20" si="2">$E$10</f>
        <v>10</v>
      </c>
      <c r="O18" s="12">
        <f>(O12*N12)+(O6*N6)</f>
        <v>0</v>
      </c>
      <c r="P18" s="12">
        <f>-0.5*N5</f>
        <v>-2</v>
      </c>
      <c r="Q18" s="12">
        <f>-(O11*N11)-(O7*N7)</f>
        <v>-8</v>
      </c>
      <c r="R18" s="12">
        <f t="shared" ref="R18:R20" si="3">SUM(N18:Q18)</f>
        <v>0</v>
      </c>
    </row>
    <row r="19" spans="3:18" x14ac:dyDescent="0.25">
      <c r="C19" s="14"/>
      <c r="D19" s="11" t="s">
        <v>27</v>
      </c>
      <c r="E19" s="10">
        <f t="shared" si="0"/>
        <v>10</v>
      </c>
      <c r="F19" s="3">
        <f>(-F12*E12)+(-F6*E6)</f>
        <v>0</v>
      </c>
      <c r="G19" s="3"/>
      <c r="H19" s="3">
        <f>-(F11*E11)-(F7*E7)</f>
        <v>-8</v>
      </c>
      <c r="I19" s="3">
        <f t="shared" si="1"/>
        <v>2</v>
      </c>
      <c r="L19" s="14"/>
      <c r="M19" s="11" t="s">
        <v>27</v>
      </c>
      <c r="N19" s="10">
        <f t="shared" si="2"/>
        <v>10</v>
      </c>
      <c r="O19" s="12">
        <f>(-O12*N12)</f>
        <v>0</v>
      </c>
      <c r="P19" s="12">
        <f>-0.5*N5</f>
        <v>-2</v>
      </c>
      <c r="Q19" s="12">
        <f>-(O11*N11)-(O7*N7)</f>
        <v>-8</v>
      </c>
      <c r="R19" s="12">
        <f t="shared" si="3"/>
        <v>0</v>
      </c>
    </row>
    <row r="20" spans="3:18" x14ac:dyDescent="0.25">
      <c r="C20" s="14"/>
      <c r="D20" s="11" t="s">
        <v>28</v>
      </c>
      <c r="E20" s="10">
        <f t="shared" si="0"/>
        <v>10</v>
      </c>
      <c r="F20" s="3"/>
      <c r="G20" s="3">
        <f>(-F13*E13)+(-F5*E5)</f>
        <v>-4</v>
      </c>
      <c r="H20" s="3">
        <f>(F11*E11)+(F7*E7)</f>
        <v>8</v>
      </c>
      <c r="I20" s="3">
        <f t="shared" si="1"/>
        <v>14</v>
      </c>
      <c r="L20" s="14"/>
      <c r="M20" s="11" t="s">
        <v>28</v>
      </c>
      <c r="N20" s="10">
        <f t="shared" si="2"/>
        <v>10</v>
      </c>
      <c r="O20" s="12">
        <f>-0.5*N6</f>
        <v>0</v>
      </c>
      <c r="P20" s="12">
        <f>(-O13*N13)</f>
        <v>0</v>
      </c>
      <c r="Q20" s="12">
        <f>(O11*N11)+(O7*N7)</f>
        <v>8</v>
      </c>
      <c r="R20" s="12">
        <f t="shared" si="3"/>
        <v>18</v>
      </c>
    </row>
    <row r="21" spans="3:18" x14ac:dyDescent="0.25">
      <c r="I21" s="13">
        <f>SUM(I17:I20)</f>
        <v>40</v>
      </c>
      <c r="R21" s="13">
        <f>SUM(R17:R20)</f>
        <v>40</v>
      </c>
    </row>
  </sheetData>
  <mergeCells count="6">
    <mergeCell ref="C10:C13"/>
    <mergeCell ref="C5:C8"/>
    <mergeCell ref="C17:C20"/>
    <mergeCell ref="L5:L8"/>
    <mergeCell ref="L10:L13"/>
    <mergeCell ref="L17:L20"/>
  </mergeCells>
  <conditionalFormatting sqref="I17:I2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{98F3F12C-10CA-4FAB-B27F-ED8D3738E2F3}</x14:id>
        </ext>
      </extLst>
    </cfRule>
  </conditionalFormatting>
  <conditionalFormatting sqref="R17:R2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{19E92882-87FC-4E90-8227-D566D8B253DA}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F3F12C-10CA-4FAB-B27F-ED8D3738E2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I17:I20</xm:sqref>
        </x14:conditionalFormatting>
        <x14:conditionalFormatting xmlns:xm="http://schemas.microsoft.com/office/excel/2006/main">
          <x14:cfRule type="dataBar" id="{19E92882-87FC-4E90-8227-D566D8B253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R17:R20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J16"/>
  <sheetViews>
    <sheetView topLeftCell="C1" workbookViewId="0">
      <selection activeCell="I7" sqref="I7"/>
    </sheetView>
  </sheetViews>
  <sheetFormatPr defaultRowHeight="15" x14ac:dyDescent="0.25"/>
  <sheetData>
    <row r="5" spans="5:10" x14ac:dyDescent="0.25">
      <c r="E5" t="s">
        <v>40</v>
      </c>
      <c r="F5" t="s">
        <v>39</v>
      </c>
      <c r="I5" t="s">
        <v>42</v>
      </c>
      <c r="J5" t="s">
        <v>41</v>
      </c>
    </row>
    <row r="6" spans="5:10" x14ac:dyDescent="0.25">
      <c r="E6">
        <v>40</v>
      </c>
      <c r="F6">
        <v>500</v>
      </c>
      <c r="I6">
        <v>0</v>
      </c>
      <c r="J6">
        <v>125</v>
      </c>
    </row>
    <row r="9" spans="5:10" x14ac:dyDescent="0.25">
      <c r="E9" t="s">
        <v>43</v>
      </c>
      <c r="I9" t="s">
        <v>44</v>
      </c>
    </row>
    <row r="10" spans="5:10" x14ac:dyDescent="0.25">
      <c r="E10">
        <v>400</v>
      </c>
      <c r="I10">
        <f>((J6-I6)/(F6-E6)*(E10-E6)+I6)</f>
        <v>97.826086956521735</v>
      </c>
    </row>
    <row r="16" spans="5:10" x14ac:dyDescent="0.25">
      <c r="E16" t="s">
        <v>40</v>
      </c>
      <c r="F16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10"/>
  <sheetViews>
    <sheetView tabSelected="1" workbookViewId="0">
      <selection activeCell="G19" sqref="G19"/>
    </sheetView>
  </sheetViews>
  <sheetFormatPr defaultRowHeight="15" x14ac:dyDescent="0.25"/>
  <cols>
    <col min="4" max="4" width="13.42578125" customWidth="1"/>
    <col min="5" max="5" width="18.42578125" bestFit="1" customWidth="1"/>
    <col min="6" max="6" width="13.28515625" customWidth="1"/>
    <col min="7" max="7" width="16" customWidth="1"/>
    <col min="8" max="8" width="17" customWidth="1"/>
  </cols>
  <sheetData>
    <row r="4" spans="2:12" x14ac:dyDescent="0.25">
      <c r="C4" t="s">
        <v>54</v>
      </c>
      <c r="E4">
        <v>20000000</v>
      </c>
    </row>
    <row r="6" spans="2:12" x14ac:dyDescent="0.25">
      <c r="B6" s="1" t="s">
        <v>45</v>
      </c>
      <c r="C6" s="1" t="s">
        <v>46</v>
      </c>
      <c r="D6" s="1" t="s">
        <v>56</v>
      </c>
      <c r="E6" s="1" t="s">
        <v>55</v>
      </c>
      <c r="F6" s="1" t="s">
        <v>47</v>
      </c>
      <c r="G6" s="1" t="s">
        <v>48</v>
      </c>
      <c r="H6" s="1" t="s">
        <v>49</v>
      </c>
    </row>
    <row r="7" spans="2:12" x14ac:dyDescent="0.25">
      <c r="B7" s="1" t="s">
        <v>50</v>
      </c>
      <c r="C7" s="1">
        <v>8</v>
      </c>
      <c r="D7" s="1">
        <f>$E$4/Table2[[#This Row],[Scale]]</f>
        <v>2500000</v>
      </c>
      <c r="E7" s="17">
        <f>1/Table2[[#This Row],[Frequency Hz]]</f>
        <v>3.9999999999999998E-7</v>
      </c>
      <c r="F7" s="18">
        <f>256*Table2[[#This Row],[Tick time (sec)]]</f>
        <v>1.024E-4</v>
      </c>
      <c r="G7" s="1"/>
      <c r="H7" s="1"/>
      <c r="L7" s="15"/>
    </row>
    <row r="8" spans="2:12" x14ac:dyDescent="0.25">
      <c r="B8" s="1" t="s">
        <v>51</v>
      </c>
      <c r="C8" s="1">
        <v>1</v>
      </c>
      <c r="D8" s="1">
        <f>$E$4/Table2[[#This Row],[Scale]]</f>
        <v>20000000</v>
      </c>
      <c r="E8" s="17">
        <f>1/Table2[[#This Row],[Frequency Hz]]</f>
        <v>4.9999999999999998E-8</v>
      </c>
      <c r="F8" s="18">
        <f>256*Table2[[#This Row],[Tick time (sec)]]</f>
        <v>1.2799999999999999E-5</v>
      </c>
      <c r="G8" s="1">
        <f t="shared" ref="G8:G10" si="0">256*F8</f>
        <v>3.2767999999999999E-3</v>
      </c>
      <c r="H8" s="16">
        <f>1/G8</f>
        <v>305.17578125</v>
      </c>
    </row>
    <row r="9" spans="2:12" x14ac:dyDescent="0.25">
      <c r="B9" s="1" t="s">
        <v>52</v>
      </c>
      <c r="C9" s="1">
        <v>256</v>
      </c>
      <c r="D9" s="1">
        <f>$E$4/Table2[[#This Row],[Scale]]</f>
        <v>78125</v>
      </c>
      <c r="E9" s="17">
        <f>1/Table2[[#This Row],[Frequency Hz]]</f>
        <v>1.2799999999999999E-5</v>
      </c>
      <c r="F9" s="18">
        <f>256*Table2[[#This Row],[Tick time (sec)]]</f>
        <v>3.2767999999999999E-3</v>
      </c>
      <c r="G9" s="1"/>
      <c r="H9" s="1"/>
      <c r="J9" s="15"/>
    </row>
    <row r="10" spans="2:12" x14ac:dyDescent="0.25">
      <c r="B10" s="1" t="s">
        <v>53</v>
      </c>
      <c r="C10" s="1">
        <v>32</v>
      </c>
      <c r="D10" s="1">
        <f>$E$4/Table2[[#This Row],[Scale]]</f>
        <v>625000</v>
      </c>
      <c r="E10" s="17">
        <f>1/Table2[[#This Row],[Frequency Hz]]</f>
        <v>1.5999999999999999E-6</v>
      </c>
      <c r="F10" s="18">
        <f>256*Table2[[#This Row],[Tick time (sec)]]</f>
        <v>4.0959999999999998E-4</v>
      </c>
      <c r="G10" s="1">
        <f t="shared" si="0"/>
        <v>0.1048576</v>
      </c>
      <c r="H10" s="16">
        <f>1/G10</f>
        <v>9.5367431640625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Rx Reading</vt:lpstr>
      <vt:lpstr>Throttle Range</vt:lpstr>
      <vt:lpstr>Sheet2</vt:lpstr>
      <vt:lpstr>Timer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M.Hefny</dc:creator>
  <cp:lastModifiedBy>M.Hefny</cp:lastModifiedBy>
  <dcterms:created xsi:type="dcterms:W3CDTF">2012-08-23T13:29:03Z</dcterms:created>
  <dcterms:modified xsi:type="dcterms:W3CDTF">2012-10-29T02:41:42Z</dcterms:modified>
</cp:coreProperties>
</file>