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defaultThemeVersion="124226"/>
  <mc:AlternateContent xmlns:mc="http://schemas.openxmlformats.org/markup-compatibility/2006">
    <mc:Choice Requires="x15">
      <x15ac:absPath xmlns:x15ac="http://schemas.microsoft.com/office/spreadsheetml/2010/11/ac" url="C:\Users\pravi\Desktop\"/>
    </mc:Choice>
  </mc:AlternateContent>
  <xr:revisionPtr revIDLastSave="0" documentId="13_ncr:1_{285427A1-634F-419F-AA6D-A981AD9654C5}" xr6:coauthVersionLast="47" xr6:coauthVersionMax="47" xr10:uidLastSave="{00000000-0000-0000-0000-000000000000}"/>
  <bookViews>
    <workbookView xWindow="-120" yWindow="-120" windowWidth="20730" windowHeight="11040" firstSheet="1" activeTab="1" xr2:uid="{00000000-000D-0000-FFFF-FFFF00000000}"/>
  </bookViews>
  <sheets>
    <sheet name="Financials" sheetId="34" state="hidden" r:id="rId1"/>
    <sheet name="Data Input Sheet" sheetId="22" r:id="rId2"/>
    <sheet name="Model Inputs" sheetId="35" r:id="rId3"/>
    <sheet name="Definitions" sheetId="33" r:id="rId4"/>
    <sheet name="Output NHB" sheetId="24" r:id="rId5"/>
    <sheet name="Sheet1 " sheetId="36" state="hidden" r:id="rId6"/>
    <sheet name="Lookup" sheetId="32" r:id="rId7"/>
    <sheet name="Rating Cap" sheetId="37" r:id="rId8"/>
  </sheets>
  <externalReferences>
    <externalReference r:id="rId9"/>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 i="24" l="1"/>
  <c r="D4" i="35" l="1"/>
  <c r="N22" i="24" s="1"/>
  <c r="O22" i="24" s="1"/>
  <c r="B4" i="35"/>
  <c r="H22" i="24" l="1"/>
  <c r="K22" i="24"/>
  <c r="L22" i="24" s="1"/>
  <c r="B29" i="35" l="1"/>
  <c r="L31" i="24" s="1"/>
  <c r="A59" i="35"/>
  <c r="B60" i="22" l="1"/>
  <c r="A68" i="35" l="1"/>
  <c r="B58" i="35" l="1"/>
  <c r="L38" i="24" s="1"/>
  <c r="B54" i="35"/>
  <c r="L23" i="24" s="1"/>
  <c r="A62" i="22"/>
  <c r="B27" i="35" l="1"/>
  <c r="L24" i="24" s="1"/>
  <c r="B6" i="35" l="1"/>
  <c r="B30" i="35"/>
  <c r="B25" i="35" l="1"/>
  <c r="B15" i="35"/>
  <c r="B3" i="35" l="1"/>
  <c r="B2" i="35"/>
  <c r="D64" i="35" l="1"/>
  <c r="B64" i="35"/>
  <c r="H44" i="24" s="1"/>
  <c r="L25" i="24" l="1"/>
  <c r="K20" i="24"/>
  <c r="K4" i="24"/>
  <c r="K27" i="24"/>
  <c r="D69" i="35" l="1"/>
  <c r="D68" i="35"/>
  <c r="D67" i="35"/>
  <c r="D66" i="35"/>
  <c r="D65" i="35"/>
  <c r="D63" i="35"/>
  <c r="D62" i="35"/>
  <c r="D61" i="35"/>
  <c r="D60" i="35"/>
  <c r="L10" i="24" l="1"/>
  <c r="B28" i="35"/>
  <c r="B26" i="35"/>
  <c r="L13" i="24" s="1"/>
  <c r="B11" i="35"/>
  <c r="K28" i="24" s="1"/>
  <c r="B24" i="35"/>
  <c r="B23" i="35"/>
  <c r="B22" i="35"/>
  <c r="B21" i="35"/>
  <c r="L11" i="24" s="1"/>
  <c r="B20" i="35"/>
  <c r="L9" i="24" s="1"/>
  <c r="B19" i="35"/>
  <c r="B18" i="35"/>
  <c r="K14" i="24" l="1"/>
  <c r="B17" i="35"/>
  <c r="B16" i="35"/>
  <c r="B14" i="35"/>
  <c r="B13" i="35"/>
  <c r="B12" i="35"/>
  <c r="B10" i="35"/>
  <c r="K26" i="24" s="1"/>
  <c r="B9" i="35"/>
  <c r="B8" i="35"/>
  <c r="K7" i="24" l="1"/>
  <c r="K8" i="24"/>
  <c r="K15" i="24"/>
  <c r="B7" i="35"/>
  <c r="K16" i="24"/>
  <c r="B5" i="35"/>
  <c r="G2" i="24" l="1"/>
  <c r="D28" i="35" l="1"/>
  <c r="D29" i="35"/>
  <c r="O31" i="24" s="1"/>
  <c r="K30" i="24"/>
  <c r="N30" i="24" l="1"/>
  <c r="H30" i="24"/>
  <c r="D71" i="35"/>
  <c r="O51" i="24" s="1"/>
  <c r="B71" i="35"/>
  <c r="L51" i="24" s="1"/>
  <c r="D15" i="35" l="1"/>
  <c r="H20" i="24" s="1"/>
  <c r="D72" i="35" l="1"/>
  <c r="D70" i="35"/>
  <c r="N17" i="24" s="1"/>
  <c r="D59" i="35"/>
  <c r="B72" i="35"/>
  <c r="B70" i="35"/>
  <c r="B69" i="35"/>
  <c r="H49" i="24" s="1"/>
  <c r="B68" i="35"/>
  <c r="H48" i="24" s="1"/>
  <c r="B67" i="35"/>
  <c r="H47" i="24" s="1"/>
  <c r="B66" i="35"/>
  <c r="H46" i="24" s="1"/>
  <c r="B65" i="35"/>
  <c r="H45" i="24" s="1"/>
  <c r="B63" i="35"/>
  <c r="H43" i="24" s="1"/>
  <c r="B62" i="35"/>
  <c r="H42" i="24" s="1"/>
  <c r="B61" i="35"/>
  <c r="H41" i="24" s="1"/>
  <c r="B60" i="35"/>
  <c r="H40" i="24" s="1"/>
  <c r="B59" i="35"/>
  <c r="H39" i="24" s="1"/>
  <c r="A70" i="35"/>
  <c r="K17" i="24" l="1"/>
  <c r="H17" i="24"/>
  <c r="B10" i="37"/>
  <c r="E10" i="37" s="1"/>
  <c r="L50" i="24"/>
  <c r="B11" i="37"/>
  <c r="E11" i="37" s="1"/>
  <c r="C10" i="37"/>
  <c r="F10" i="37" s="1"/>
  <c r="O50" i="24"/>
  <c r="C11" i="37"/>
  <c r="F11" i="37" s="1"/>
  <c r="N3" i="24"/>
  <c r="K3" i="24" l="1"/>
  <c r="L3" i="24" s="1"/>
  <c r="N49" i="24" l="1"/>
  <c r="N48" i="24"/>
  <c r="N47" i="24"/>
  <c r="N46" i="24"/>
  <c r="N45" i="24"/>
  <c r="N44" i="24"/>
  <c r="N43" i="24"/>
  <c r="N42" i="24"/>
  <c r="N41" i="24"/>
  <c r="N40" i="24"/>
  <c r="N39" i="24"/>
  <c r="K49" i="24"/>
  <c r="K48" i="24"/>
  <c r="K47" i="24"/>
  <c r="K46" i="24"/>
  <c r="K45" i="24"/>
  <c r="K44" i="24"/>
  <c r="K43" i="24"/>
  <c r="K42" i="24"/>
  <c r="K41" i="24"/>
  <c r="K40" i="24"/>
  <c r="K39" i="24"/>
  <c r="A72" i="35"/>
  <c r="A71" i="35"/>
  <c r="A69" i="35"/>
  <c r="G49" i="24" s="1"/>
  <c r="G48" i="24"/>
  <c r="A67" i="35"/>
  <c r="G47" i="24" s="1"/>
  <c r="A66" i="35"/>
  <c r="G46" i="24" s="1"/>
  <c r="A65" i="35"/>
  <c r="G45" i="24" s="1"/>
  <c r="A64" i="35"/>
  <c r="G44" i="24" s="1"/>
  <c r="A63" i="35"/>
  <c r="G43" i="24" s="1"/>
  <c r="A62" i="35"/>
  <c r="G42" i="24" s="1"/>
  <c r="A61" i="35"/>
  <c r="G41" i="24" s="1"/>
  <c r="A60" i="35"/>
  <c r="G40" i="24" s="1"/>
  <c r="G39" i="24"/>
  <c r="D12" i="35" l="1"/>
  <c r="N29" i="24" l="1"/>
  <c r="H29" i="24"/>
  <c r="K29" i="24"/>
  <c r="D58" i="35"/>
  <c r="O38" i="24" s="1"/>
  <c r="D57" i="35"/>
  <c r="D56" i="35"/>
  <c r="D55" i="35"/>
  <c r="D54" i="35"/>
  <c r="O23" i="24" s="1"/>
  <c r="B57" i="35"/>
  <c r="B56" i="35"/>
  <c r="B55" i="35"/>
  <c r="D26" i="35"/>
  <c r="O13" i="24" s="1"/>
  <c r="H36" i="24" l="1"/>
  <c r="H37" i="24"/>
  <c r="B8" i="37"/>
  <c r="E8" i="37" s="1"/>
  <c r="B9" i="37"/>
  <c r="E9" i="37" s="1"/>
  <c r="B7" i="37"/>
  <c r="E7" i="37" s="1"/>
  <c r="N36" i="24"/>
  <c r="C8" i="37"/>
  <c r="F8" i="37" s="1"/>
  <c r="N37" i="24"/>
  <c r="C9" i="37"/>
  <c r="F9" i="37" s="1"/>
  <c r="C7" i="37"/>
  <c r="F7" i="37" s="1"/>
  <c r="K36" i="24"/>
  <c r="K37" i="24"/>
  <c r="I49" i="24" l="1"/>
  <c r="L49" i="24" s="1"/>
  <c r="I41" i="24"/>
  <c r="I48" i="24"/>
  <c r="I40" i="24"/>
  <c r="L40" i="24" s="1"/>
  <c r="I36" i="24"/>
  <c r="L36" i="24" s="1"/>
  <c r="I44" i="24"/>
  <c r="L44" i="24" s="1"/>
  <c r="I47" i="24"/>
  <c r="L47" i="24" s="1"/>
  <c r="I39" i="24"/>
  <c r="L39" i="24" s="1"/>
  <c r="I46" i="24"/>
  <c r="L46" i="24" s="1"/>
  <c r="I37" i="24"/>
  <c r="L37" i="24" s="1"/>
  <c r="I45" i="24"/>
  <c r="I43" i="24"/>
  <c r="L43" i="24" s="1"/>
  <c r="I42" i="24"/>
  <c r="L42" i="24" s="1"/>
  <c r="L48" i="24"/>
  <c r="L45" i="24"/>
  <c r="L41" i="24"/>
  <c r="O41" i="24" l="1"/>
  <c r="O49" i="24"/>
  <c r="O39" i="24"/>
  <c r="O44" i="24"/>
  <c r="O45" i="24"/>
  <c r="O48" i="24"/>
  <c r="O46" i="24"/>
  <c r="O42" i="24"/>
  <c r="O43" i="24"/>
  <c r="O40" i="24"/>
  <c r="O47" i="24"/>
  <c r="D30" i="35"/>
  <c r="O10" i="24" s="1"/>
  <c r="G3" i="24"/>
  <c r="A58" i="35"/>
  <c r="G38" i="24" s="1"/>
  <c r="A55" i="35"/>
  <c r="D27" i="35" l="1"/>
  <c r="O24" i="24" s="1"/>
  <c r="J37" i="24" l="1"/>
  <c r="J36" i="24"/>
  <c r="J3" i="24"/>
  <c r="D25" i="35" l="1"/>
  <c r="O25" i="24" s="1"/>
  <c r="A65" i="22" l="1"/>
  <c r="A57" i="35" s="1"/>
  <c r="G37" i="24" s="1"/>
  <c r="A64" i="22"/>
  <c r="A56" i="35" s="1"/>
  <c r="G36" i="24" s="1"/>
  <c r="A54" i="35"/>
  <c r="D48" i="35" l="1"/>
  <c r="D90" i="35" s="1"/>
  <c r="B48" i="35"/>
  <c r="B90" i="35" s="1"/>
  <c r="D5" i="35"/>
  <c r="K5" i="24"/>
  <c r="D9" i="35"/>
  <c r="K18" i="24"/>
  <c r="D14" i="35"/>
  <c r="K6" i="24"/>
  <c r="D20" i="35"/>
  <c r="O9" i="24" s="1"/>
  <c r="K34" i="24"/>
  <c r="D24" i="35"/>
  <c r="D2" i="35"/>
  <c r="N27" i="24" s="1"/>
  <c r="D6" i="35"/>
  <c r="D10" i="35"/>
  <c r="N26" i="24" s="1"/>
  <c r="D16" i="35"/>
  <c r="D21" i="35"/>
  <c r="O11" i="24" s="1"/>
  <c r="D3" i="35"/>
  <c r="N4" i="24" s="1"/>
  <c r="D7" i="35"/>
  <c r="D11" i="35"/>
  <c r="N28" i="24" s="1"/>
  <c r="D17" i="35"/>
  <c r="D22" i="35"/>
  <c r="D8" i="35"/>
  <c r="D13" i="35"/>
  <c r="D18" i="35"/>
  <c r="D23" i="35"/>
  <c r="O37" i="24"/>
  <c r="O36" i="24"/>
  <c r="O3" i="24"/>
  <c r="K33" i="24"/>
  <c r="K21" i="24"/>
  <c r="E193" i="34"/>
  <c r="D193" i="34"/>
  <c r="C193" i="34"/>
  <c r="B193" i="34"/>
  <c r="E137" i="34"/>
  <c r="D137" i="34"/>
  <c r="C137" i="34"/>
  <c r="B137" i="34"/>
  <c r="E46" i="34"/>
  <c r="D46" i="34"/>
  <c r="C46" i="34"/>
  <c r="B46" i="34"/>
  <c r="E39" i="34"/>
  <c r="D39" i="34"/>
  <c r="C39" i="34"/>
  <c r="N7" i="24" l="1"/>
  <c r="H7" i="24"/>
  <c r="N8" i="24"/>
  <c r="H8" i="24"/>
  <c r="N15" i="24"/>
  <c r="H15" i="24"/>
  <c r="N16" i="24"/>
  <c r="H16" i="24"/>
  <c r="N14" i="24"/>
  <c r="H14" i="24"/>
  <c r="N19" i="24"/>
  <c r="H19" i="24"/>
  <c r="H26" i="24"/>
  <c r="N6" i="24"/>
  <c r="H6" i="24"/>
  <c r="H28" i="24"/>
  <c r="N35" i="24"/>
  <c r="H35" i="24"/>
  <c r="N18" i="24"/>
  <c r="H18" i="24"/>
  <c r="N21" i="24"/>
  <c r="H21" i="24"/>
  <c r="H27" i="24"/>
  <c r="N33" i="24"/>
  <c r="H33" i="24"/>
  <c r="H4" i="24"/>
  <c r="N34" i="24"/>
  <c r="H34" i="24"/>
  <c r="N5" i="24"/>
  <c r="H5" i="24"/>
  <c r="D41" i="35"/>
  <c r="D83" i="35" s="1"/>
  <c r="B41" i="35"/>
  <c r="B83" i="35" s="1"/>
  <c r="D44" i="35"/>
  <c r="B44" i="35"/>
  <c r="D51" i="35"/>
  <c r="D93" i="35" s="1"/>
  <c r="B51" i="35"/>
  <c r="B93" i="35" s="1"/>
  <c r="D50" i="35"/>
  <c r="D92" i="35" s="1"/>
  <c r="B50" i="35"/>
  <c r="B92" i="35" s="1"/>
  <c r="D34" i="35"/>
  <c r="D76" i="35" s="1"/>
  <c r="B34" i="35"/>
  <c r="B76" i="35" s="1"/>
  <c r="D37" i="35"/>
  <c r="D79" i="35" s="1"/>
  <c r="B37" i="35"/>
  <c r="B79" i="35" s="1"/>
  <c r="D32" i="35"/>
  <c r="D74" i="35" s="1"/>
  <c r="B32" i="35"/>
  <c r="D39" i="35"/>
  <c r="D81" i="35" s="1"/>
  <c r="B39" i="35"/>
  <c r="B81" i="35" s="1"/>
  <c r="D38" i="35"/>
  <c r="D80" i="35" s="1"/>
  <c r="B38" i="35"/>
  <c r="B80" i="35" s="1"/>
  <c r="D40" i="35"/>
  <c r="D82" i="35" s="1"/>
  <c r="B40" i="35"/>
  <c r="B82" i="35" s="1"/>
  <c r="D47" i="35"/>
  <c r="D89" i="35" s="1"/>
  <c r="B47" i="35"/>
  <c r="B89" i="35" s="1"/>
  <c r="D46" i="35"/>
  <c r="D88" i="35" s="1"/>
  <c r="B46" i="35"/>
  <c r="B88" i="35" s="1"/>
  <c r="D49" i="35"/>
  <c r="D91" i="35" s="1"/>
  <c r="B49" i="35"/>
  <c r="B91" i="35" s="1"/>
  <c r="D33" i="35"/>
  <c r="D75" i="35" s="1"/>
  <c r="B33" i="35"/>
  <c r="B75" i="35" s="1"/>
  <c r="D36" i="35"/>
  <c r="D78" i="35" s="1"/>
  <c r="B36" i="35"/>
  <c r="B78" i="35" s="1"/>
  <c r="D43" i="35"/>
  <c r="D85" i="35" s="1"/>
  <c r="B43" i="35"/>
  <c r="B85" i="35" s="1"/>
  <c r="D42" i="35"/>
  <c r="D84" i="35" s="1"/>
  <c r="B42" i="35"/>
  <c r="B84" i="35" s="1"/>
  <c r="D45" i="35"/>
  <c r="D87" i="35" s="1"/>
  <c r="B45" i="35"/>
  <c r="B87" i="35" s="1"/>
  <c r="D35" i="35"/>
  <c r="D77" i="35" s="1"/>
  <c r="B35" i="35"/>
  <c r="B77" i="35" s="1"/>
  <c r="N20" i="24"/>
  <c r="K19" i="24"/>
  <c r="K35" i="24"/>
  <c r="D19" i="35"/>
  <c r="B74" i="35" l="1"/>
  <c r="B52" i="35"/>
  <c r="B86" i="35"/>
  <c r="D86" i="35"/>
  <c r="N32" i="24"/>
  <c r="H32" i="24"/>
  <c r="I4" i="24"/>
  <c r="I6" i="24"/>
  <c r="I5" i="24"/>
  <c r="L5" i="24" s="1"/>
  <c r="K32" i="24"/>
  <c r="I35" i="24"/>
  <c r="O35" i="24" s="1"/>
  <c r="B73" i="35" l="1"/>
  <c r="K12" i="24"/>
  <c r="L35" i="24"/>
  <c r="J6" i="24"/>
  <c r="L6" i="24"/>
  <c r="O4" i="24"/>
  <c r="L4" i="24"/>
  <c r="I21" i="24"/>
  <c r="L21" i="24" s="1"/>
  <c r="D73" i="35"/>
  <c r="O6" i="24"/>
  <c r="J4" i="24"/>
  <c r="I33" i="24"/>
  <c r="I18" i="24"/>
  <c r="I20" i="24"/>
  <c r="J5" i="24"/>
  <c r="O5" i="24"/>
  <c r="I34" i="24"/>
  <c r="L34" i="24" s="1"/>
  <c r="I19" i="24"/>
  <c r="N12" i="24" l="1"/>
  <c r="H12" i="24"/>
  <c r="I29" i="24"/>
  <c r="L29" i="24" s="1"/>
  <c r="I27" i="24"/>
  <c r="L27" i="24" s="1"/>
  <c r="I32" i="24"/>
  <c r="I30" i="24"/>
  <c r="I26" i="24"/>
  <c r="I28" i="24"/>
  <c r="L28" i="24" s="1"/>
  <c r="O18" i="24"/>
  <c r="L18" i="24"/>
  <c r="O20" i="24"/>
  <c r="L20" i="24"/>
  <c r="O19" i="24"/>
  <c r="L19" i="24"/>
  <c r="O33" i="24"/>
  <c r="L33" i="24"/>
  <c r="O21" i="24"/>
  <c r="O34" i="24"/>
  <c r="J20" i="24"/>
  <c r="J19" i="24"/>
  <c r="J18" i="24"/>
  <c r="J21" i="24"/>
  <c r="J35" i="24"/>
  <c r="J34" i="24"/>
  <c r="J33" i="24"/>
  <c r="I17" i="24" l="1"/>
  <c r="I12" i="24"/>
  <c r="L12" i="24" s="1"/>
  <c r="I7" i="24"/>
  <c r="L7" i="24" s="1"/>
  <c r="I16" i="24"/>
  <c r="L16" i="24" s="1"/>
  <c r="I14" i="24"/>
  <c r="I8" i="24"/>
  <c r="I15" i="24"/>
  <c r="O30" i="24"/>
  <c r="L30" i="24"/>
  <c r="O26" i="24"/>
  <c r="L26" i="24"/>
  <c r="O32" i="24"/>
  <c r="L32" i="24"/>
  <c r="O29" i="24"/>
  <c r="O28" i="24"/>
  <c r="J26" i="24"/>
  <c r="J30" i="24"/>
  <c r="J32" i="24"/>
  <c r="O27" i="24"/>
  <c r="J27" i="24"/>
  <c r="J29" i="24"/>
  <c r="O17" i="24" l="1"/>
  <c r="L17" i="24"/>
  <c r="J12" i="24"/>
  <c r="O12" i="24"/>
  <c r="J8" i="24"/>
  <c r="L8" i="24"/>
  <c r="O14" i="24"/>
  <c r="L14" i="24"/>
  <c r="O15" i="24"/>
  <c r="L15" i="24"/>
  <c r="J16" i="24"/>
  <c r="J15" i="24"/>
  <c r="O7" i="24"/>
  <c r="O16" i="24"/>
  <c r="J7" i="24"/>
  <c r="J14" i="24"/>
  <c r="O8" i="24"/>
  <c r="K52" i="24" l="1"/>
  <c r="K53" i="24" s="1"/>
  <c r="N52" i="24"/>
  <c r="N53" i="24" s="1"/>
  <c r="B2" i="37"/>
  <c r="G8" i="37" s="1"/>
  <c r="C2" i="37"/>
  <c r="G9" i="37" l="1"/>
  <c r="G7" i="37"/>
  <c r="G11" i="37"/>
  <c r="G10" i="37"/>
  <c r="H10" i="37"/>
  <c r="H9" i="37"/>
  <c r="H8" i="37"/>
  <c r="H7" i="37"/>
  <c r="H11" i="37"/>
  <c r="O52" i="24"/>
  <c r="L52" i="24"/>
  <c r="L53" i="24" l="1"/>
  <c r="K54" i="24" s="1"/>
  <c r="L54" i="24" s="1"/>
  <c r="B4" i="37"/>
  <c r="O53" i="24"/>
  <c r="N54" i="24" s="1"/>
  <c r="O54" i="24" s="1"/>
  <c r="C4" i="37"/>
  <c r="B3" i="37"/>
  <c r="C3" i="37"/>
</calcChain>
</file>

<file path=xl/sharedStrings.xml><?xml version="1.0" encoding="utf-8"?>
<sst xmlns="http://schemas.openxmlformats.org/spreadsheetml/2006/main" count="683" uniqueCount="440">
  <si>
    <t>Balance Sheet</t>
  </si>
  <si>
    <t>Score</t>
  </si>
  <si>
    <t>Assets</t>
  </si>
  <si>
    <t>Value</t>
  </si>
  <si>
    <t>Customer Unique ID</t>
  </si>
  <si>
    <t>Currency</t>
  </si>
  <si>
    <t>III.Interest Expended</t>
  </si>
  <si>
    <t>a)    Interest on deposits</t>
  </si>
  <si>
    <t>b)    Interest on RBI/ Inter - bank borrowings</t>
  </si>
  <si>
    <t>c)    Others</t>
  </si>
  <si>
    <t>IV.Operating Expenses</t>
  </si>
  <si>
    <t>a)    Payments to and provisions for employees</t>
  </si>
  <si>
    <t>b)    Rent, taxes and lighting</t>
  </si>
  <si>
    <t>c)    Printing and stationery</t>
  </si>
  <si>
    <t>d)    Advertisement and publicity</t>
  </si>
  <si>
    <t>e)    Depreciation on bank's property</t>
  </si>
  <si>
    <t>f)     Directors' fees, allowances and expenses</t>
  </si>
  <si>
    <t>g)    Auditors' fees and expenses</t>
  </si>
  <si>
    <t>h)    Law charges</t>
  </si>
  <si>
    <t>i)     Postage, telegrams, telephones, etc</t>
  </si>
  <si>
    <t>j)     Repairs and maintenance</t>
  </si>
  <si>
    <t>k)    Insurance</t>
  </si>
  <si>
    <t>l)     Other expenditure</t>
  </si>
  <si>
    <t>a)   Interest/Discount earned on advances/bills</t>
  </si>
  <si>
    <t>b)   Income on investments</t>
  </si>
  <si>
    <t>c)   Interest on balances with RBI and other inter-bank funds</t>
  </si>
  <si>
    <t>d)   Others</t>
  </si>
  <si>
    <t>a)   Commission, exchange and brokerage</t>
  </si>
  <si>
    <t>b)   Net profit (loss) on sale of investments</t>
  </si>
  <si>
    <t>c)   Net profit (loss) on revaluation of investments</t>
  </si>
  <si>
    <t>d)   Net profit (loss) on sale of land and other assets</t>
  </si>
  <si>
    <t>e)   Net profit (loss) on exchange transactions</t>
  </si>
  <si>
    <t>f)    Miscellaneous income</t>
  </si>
  <si>
    <t>1.     Capital</t>
  </si>
  <si>
    <t>2.     Reserves and Surplus</t>
  </si>
  <si>
    <t xml:space="preserve">         2.1       Statutory Reserves_x000D_
</t>
  </si>
  <si>
    <t xml:space="preserve">         2.2       Capital Reserves_x000D_
</t>
  </si>
  <si>
    <t xml:space="preserve">         2.3       Share Premium_x000D_
</t>
  </si>
  <si>
    <t xml:space="preserve">         2.4       Investments Fluctuations Reserves_x000D_
</t>
  </si>
  <si>
    <t xml:space="preserve">         2.5       Revenue and other Reserves_x000D_
</t>
  </si>
  <si>
    <t xml:space="preserve">         2.6       Balance of Profit_x000D_
</t>
  </si>
  <si>
    <t xml:space="preserve">3.     Deposits_x000D_
</t>
  </si>
  <si>
    <t xml:space="preserve">         3A.1.  Demand deposits_x000D_
</t>
  </si>
  <si>
    <t xml:space="preserve">         (i)          From banks_x000D_
</t>
  </si>
  <si>
    <t xml:space="preserve">         (ii)         From others_x000D_
</t>
  </si>
  <si>
    <t xml:space="preserve">         3A.2.   Savings bank deposits_x000D_
</t>
  </si>
  <si>
    <t xml:space="preserve">         3A.3.   Term deposits_x000D_
</t>
  </si>
  <si>
    <t xml:space="preserve">         3B.1.   Deposits of branches in India_x000D_
</t>
  </si>
  <si>
    <t xml:space="preserve">         3B.2.   Deposits of branches outside India_x000D_
</t>
  </si>
  <si>
    <t xml:space="preserve">4.     Borrowings_x000D_
</t>
  </si>
  <si>
    <t xml:space="preserve">         4.1.      Borrowings in India_x000D_
</t>
  </si>
  <si>
    <t xml:space="preserve">         (i)        From Reserve Bank of India_x000D_
</t>
  </si>
  <si>
    <t xml:space="preserve">         (ii)       From other banks_x000D_
</t>
  </si>
  <si>
    <t xml:space="preserve">         (iii)      From other institutions and agencies_x000D_
</t>
  </si>
  <si>
    <t xml:space="preserve">         4.2.      Borrowings outside India_x000D_
</t>
  </si>
  <si>
    <t xml:space="preserve">         Secured borrowings included in 4._x000D_
</t>
  </si>
  <si>
    <t xml:space="preserve">5.     Other liabilities &amp; provisions_x000D_
</t>
  </si>
  <si>
    <t xml:space="preserve">         5.1.      Bills Payable_x000D_
</t>
  </si>
  <si>
    <t xml:space="preserve">         5.2.      Inter-office adjustments_x000D_
</t>
  </si>
  <si>
    <t xml:space="preserve">         5.3.      Interest accrued_x000D_
</t>
  </si>
  <si>
    <t xml:space="preserve">         5.4.      Subordinate debt_x000D_
</t>
  </si>
  <si>
    <t xml:space="preserve">         5.5.      Deferred Tax Liabilities_x000D_
</t>
  </si>
  <si>
    <t xml:space="preserve">         5.6.      Others (including provisions)_x000D_
</t>
  </si>
  <si>
    <t>Total Liabilities</t>
  </si>
  <si>
    <t xml:space="preserve">1.     Cash in hand_x000D_
</t>
  </si>
  <si>
    <t xml:space="preserve">2.     Balances with RBI_x000D_
</t>
  </si>
  <si>
    <t xml:space="preserve">3.     Balances with banks in India_x000D_
</t>
  </si>
  <si>
    <t xml:space="preserve">4.     Money at call and short notice_x000D_
</t>
  </si>
  <si>
    <t>5.     Balances with banks outside India</t>
  </si>
  <si>
    <t xml:space="preserve">6.     Investments_x000D_
</t>
  </si>
  <si>
    <t xml:space="preserve">         6.1.       Investments in India_x000D_
</t>
  </si>
  <si>
    <t xml:space="preserve">                       (i)     Government securities_x000D_
</t>
  </si>
  <si>
    <t xml:space="preserve">                       (ii)    Other approved securities_x000D_
</t>
  </si>
  <si>
    <t xml:space="preserve">                       (iii)   Shares_x000D_
</t>
  </si>
  <si>
    <t xml:space="preserve">                       (iv)   Debentures and Bonds_x000D_
</t>
  </si>
  <si>
    <t xml:space="preserve">                       (v)    Subsidiaries and/or joint ventures_x000D_
</t>
  </si>
  <si>
    <t xml:space="preserve">                       (vi)   Others_x000D_
</t>
  </si>
  <si>
    <t xml:space="preserve">         6.2.       Investments outside India_x000D_
</t>
  </si>
  <si>
    <t xml:space="preserve">                       (i)      Government securities_x000D_
</t>
  </si>
  <si>
    <t xml:space="preserve">                       (ii)    Subsidiaries and/or joint ventures_x000D_
</t>
  </si>
  <si>
    <t xml:space="preserve">                       (iii)   Others_x000D_
</t>
  </si>
  <si>
    <t xml:space="preserve">7.     Advances_x000D_
</t>
  </si>
  <si>
    <t xml:space="preserve">         7A.1.    Bills purchased and discounted_x000D_
</t>
  </si>
  <si>
    <t xml:space="preserve">         7A.2.    Cash credits, overdrafts &amp; loans_x000D_
</t>
  </si>
  <si>
    <t xml:space="preserve">         7A.3.    Term loans_x000D_
</t>
  </si>
  <si>
    <t xml:space="preserve">         7B.1.    Secured by tangible assets_x000D_
</t>
  </si>
  <si>
    <t xml:space="preserve">         7B.2.    Covered by Bank/Govt. Guarantees_x000D_
</t>
  </si>
  <si>
    <t xml:space="preserve">         7B.3.    Unsecured_x000D_
</t>
  </si>
  <si>
    <t xml:space="preserve">         7C.1.     Advances in India</t>
  </si>
  <si>
    <t xml:space="preserve">         (i)         Priority sectors _x000D_
</t>
  </si>
  <si>
    <t xml:space="preserve">         (ii)        Public sectors_x000D_
</t>
  </si>
  <si>
    <t xml:space="preserve">         (iii)       Banks_x000D_
</t>
  </si>
  <si>
    <t xml:space="preserve">         (iv)       others_x000D_
</t>
  </si>
  <si>
    <t xml:space="preserve">         7C.2.    Advances outside India</t>
  </si>
  <si>
    <t>8.     Fixed Assets</t>
  </si>
  <si>
    <t xml:space="preserve">         8.1.      Premises</t>
  </si>
  <si>
    <t xml:space="preserve">         8.2.      Fixed assets under construction</t>
  </si>
  <si>
    <t xml:space="preserve">         8.3.      Other Fixed assets_x000D_
</t>
  </si>
  <si>
    <t>9.     Other Assets</t>
  </si>
  <si>
    <t xml:space="preserve">         9.1.      Inter-office adjustments (net)_x000D_
</t>
  </si>
  <si>
    <t xml:space="preserve">         9.2.      Interest accrued _x000D_
</t>
  </si>
  <si>
    <t xml:space="preserve">         9.3.      Tax paid_x000D_
</t>
  </si>
  <si>
    <t xml:space="preserve">         9.4.      Stationery and Stamps_x000D_
</t>
  </si>
  <si>
    <t xml:space="preserve">         9.5.      Others_x000D_
</t>
  </si>
  <si>
    <t>Total Assets</t>
  </si>
  <si>
    <t>Tier-I</t>
  </si>
  <si>
    <t>Tier-II</t>
  </si>
  <si>
    <t>Total</t>
  </si>
  <si>
    <t>Advances to sensitive sectors as on March 31</t>
  </si>
  <si>
    <t>Capital Market Sector</t>
  </si>
  <si>
    <t>Real Estate Sector</t>
  </si>
  <si>
    <t>Commodities</t>
  </si>
  <si>
    <t>Taxation</t>
  </si>
  <si>
    <t>NPA</t>
  </si>
  <si>
    <t>Investments</t>
  </si>
  <si>
    <t>Others</t>
  </si>
  <si>
    <t>Deposits</t>
  </si>
  <si>
    <t>a)  1 - 14 days</t>
  </si>
  <si>
    <t>b)  15 - 28 days</t>
  </si>
  <si>
    <t>c)  29 days to 3 months</t>
  </si>
  <si>
    <t>d)  Over 3 months to 6 months</t>
  </si>
  <si>
    <t>e)  Over 6 months to 1 year</t>
  </si>
  <si>
    <t>f)  Over 1 year to 3 years</t>
  </si>
  <si>
    <t>g)  Over 3 years to 5 years</t>
  </si>
  <si>
    <t>h)  Over 5 years</t>
  </si>
  <si>
    <t>Total of Deposits</t>
  </si>
  <si>
    <t>Borrowings</t>
  </si>
  <si>
    <t>Investments (at book value)</t>
  </si>
  <si>
    <t>f)   Over 1 year to 3 years</t>
  </si>
  <si>
    <t>Total of Investments (at book value)</t>
  </si>
  <si>
    <t>Foreign Currency Assets</t>
  </si>
  <si>
    <t>Total of Foreign Currency Assets</t>
  </si>
  <si>
    <t>Foreign Currency Liabilities</t>
  </si>
  <si>
    <t>Total of Foreign Currency Liabilities</t>
  </si>
  <si>
    <t>Loans and Advances</t>
  </si>
  <si>
    <t>Total of Loans and Advances</t>
  </si>
  <si>
    <t>Entity Name</t>
  </si>
  <si>
    <t>Type of Entity</t>
  </si>
  <si>
    <t>Period of Year End</t>
  </si>
  <si>
    <t>No. of Months in the Period</t>
  </si>
  <si>
    <t>Total Interest Income</t>
  </si>
  <si>
    <t>Total Other Income</t>
  </si>
  <si>
    <t>Total Income</t>
  </si>
  <si>
    <t>Total Interest Expenses</t>
  </si>
  <si>
    <t xml:space="preserve">I.Interest Earned </t>
  </si>
  <si>
    <t xml:space="preserve">II.Other Income </t>
  </si>
  <si>
    <t>Total Operating Expenses</t>
  </si>
  <si>
    <t>V.Net Interest Income (I-III)</t>
  </si>
  <si>
    <t>VI.Provisions and Contingencies</t>
  </si>
  <si>
    <t>VII.Operating Profit (I+II-III-IV)</t>
  </si>
  <si>
    <t>VIII.Profit (Loss) during the year</t>
  </si>
  <si>
    <t>-</t>
  </si>
  <si>
    <t>VI. Provisions and Contingencies Break-up</t>
  </si>
  <si>
    <t>Liabilities</t>
  </si>
  <si>
    <t>Basel-III Capital Adequacy</t>
  </si>
  <si>
    <t>Liability on account of outstanding forward exchange contracts</t>
  </si>
  <si>
    <t>Guarantees Given on Behalf of Constituents In India</t>
  </si>
  <si>
    <t>Guarantees Given on Behalf of Constituents Outside India</t>
  </si>
  <si>
    <t>Acceptances, endorsements and Other Obligations</t>
  </si>
  <si>
    <t>Contingent Liabilities</t>
  </si>
  <si>
    <t>ALM Profile</t>
  </si>
  <si>
    <t>Total of Borrowings</t>
  </si>
  <si>
    <t>Input Currency</t>
  </si>
  <si>
    <t>Movement of NPAs</t>
  </si>
  <si>
    <t>Gross NPAs</t>
  </si>
  <si>
    <t>As on March 31( previous  year )</t>
  </si>
  <si>
    <t>Addition during the Year</t>
  </si>
  <si>
    <t>Reduction during the Year</t>
  </si>
  <si>
    <t>Write-off during the Year</t>
  </si>
  <si>
    <t>As on March 31( current  year )</t>
  </si>
  <si>
    <t>Net NPAs</t>
  </si>
  <si>
    <t>Proposed Dividends (with Dividend Tax)</t>
  </si>
  <si>
    <t>Net Profits for Appropriation</t>
  </si>
  <si>
    <t>Loans Subjected to Restructuring</t>
  </si>
  <si>
    <t>Corporate Debt Restructured</t>
  </si>
  <si>
    <t>Standard Assets during the Year</t>
  </si>
  <si>
    <t>Sub-Standard Assets during the Year</t>
  </si>
  <si>
    <t>Doubtful Assets during the Year</t>
  </si>
  <si>
    <t>Total Loans Subjected to Restructuring</t>
  </si>
  <si>
    <t>Total Debt Subjected to Restructuring</t>
  </si>
  <si>
    <t>Total Loans &amp; Corporate Debt Subjected to Restructuring</t>
  </si>
  <si>
    <t>Total No. of Employees</t>
  </si>
  <si>
    <t>Total No. of Branches</t>
  </si>
  <si>
    <t>Return on Assets (%)</t>
  </si>
  <si>
    <t>Weights</t>
  </si>
  <si>
    <t>Industry Risk</t>
  </si>
  <si>
    <t>Business Risk</t>
  </si>
  <si>
    <t>Resource Profile</t>
  </si>
  <si>
    <t>Deposit Growth (%)</t>
  </si>
  <si>
    <t>Asset Quality</t>
  </si>
  <si>
    <t>Fresh NPA / Gross Advances at the beginning of the year (%)</t>
  </si>
  <si>
    <t>Operating Efficiency</t>
  </si>
  <si>
    <t>Cost of Deposit(%)</t>
  </si>
  <si>
    <t>Diversity of Income Sources</t>
  </si>
  <si>
    <t>Financial Risk</t>
  </si>
  <si>
    <t>Liquidity</t>
  </si>
  <si>
    <t>Credit-Deposit Ratio (%)</t>
  </si>
  <si>
    <t>Capital</t>
  </si>
  <si>
    <t>Capital Adequacy Ratio (%)</t>
  </si>
  <si>
    <t>Tangible Networth</t>
  </si>
  <si>
    <t>Tangible Networth / Net NPA (%)</t>
  </si>
  <si>
    <t>Earnings</t>
  </si>
  <si>
    <t>Management Risk</t>
  </si>
  <si>
    <t>Corporate Governance</t>
  </si>
  <si>
    <t>Other Information</t>
  </si>
  <si>
    <t>Bank</t>
  </si>
  <si>
    <t>CASA</t>
  </si>
  <si>
    <t>Branches</t>
  </si>
  <si>
    <t>Gross NPA (%)</t>
  </si>
  <si>
    <t>Total Advances</t>
  </si>
  <si>
    <t>Addition in NPAs/ Advances</t>
  </si>
  <si>
    <t>Diversity of Income</t>
  </si>
  <si>
    <t>Parameters</t>
  </si>
  <si>
    <t>Input</t>
  </si>
  <si>
    <t>PSU Bank</t>
  </si>
  <si>
    <t>New Pvt Sector Bank</t>
  </si>
  <si>
    <t>Old Pvt Sector Bank</t>
  </si>
  <si>
    <t>Foreign Bank</t>
  </si>
  <si>
    <t>Business Model</t>
  </si>
  <si>
    <t>Very diverse and stable business model across multiple operating segments or geographies. Maintains critical mass in most business segments or geographies in which it operates. Overall business highly weighted towards traditional commercial banking. Modest reliance on volatile businesses. The borrower has a diversified portfolio in terms of geography, customer base and type of product and concentration risks are therefore very low.</t>
  </si>
  <si>
    <t>Diverse and stable business model. Critical mass maintained in key operating segments or geographies in which it operates. Overall business weighted towards traditional commercial banking. Notable reliance on volatile businesses. The borrower has a reasonably diversified asset profile, but may have some concentration along one dimension (geography/ customer base/ type of products), although concentration risks are effectively mitigated and risks are therefore low.</t>
  </si>
  <si>
    <t>Less stable and or diverse business model, potentially dominated by a key operating segment or geography. Overall business weighted towards traditional commercial banking. Greater reliance on volatile businesses. The borrower has a diversified asset profile, but has some concentration risk along one/ two dimensions (geography/ customer base/ type of products), although concentration risks are modest.</t>
  </si>
  <si>
    <t>Less diverse and stable business model, potentially with more specialisation in a key operating segment or less stable/advanced economies. Overall business possibly weighted towards non-traditional banking activities. Significant reliance on volatile businesses. The borrower has a diversified asset profile, but has some concentration risk along one/ two dimensions (geography/ customer base/ type of products), which may deteriorate sharply during economic downturn.</t>
  </si>
  <si>
    <t>Limited business model stability. May be wholly reliant on volatile businesses or economies. Asset concentration is high and the borrower's business is seriously susceptible to any downturn in the segment.</t>
  </si>
  <si>
    <t>MANAGEMENT &amp; STRATEGY</t>
  </si>
  <si>
    <t>Management Quality</t>
  </si>
  <si>
    <t xml:space="preserve">Management has a very high degree of depth, stability and experience. Succession planning for key executive roles is routinely undertaken and turnover is very low. Management has maintained a very high degree of credibility among all major constituencies over a lengthy period. Institution has a solid and consistent corporate culture. </t>
  </si>
  <si>
    <t xml:space="preserve">Management has a high degree of depth, stability and experience. Succession planning for key executive roles in place and turnover is low. Management maintains a high degree of credibility among major constituencies. Institution has a good and consistent corporate culture. </t>
  </si>
  <si>
    <t xml:space="preserve">Management has a good degree of depth, stability, and experience. Executive turnover is manageable. Management has a good level of credibility among major constituencies. Corporate culture is sound, but may be less consistent than higher rated entities. </t>
  </si>
  <si>
    <t xml:space="preserve">Management has an acceptable degree of depth, stability and experience, but noticeably less than higher rated entities. Management turnover or reliance on key individuals may be more prevalent than higher rated entities. </t>
  </si>
  <si>
    <t>Management may have noticeable weaknesses, including lack of depth, stability, or experience. Management turnover may be considered high.</t>
  </si>
  <si>
    <t>Underwriting Standards</t>
  </si>
  <si>
    <t>Profit &amp; Loss Statement (Directly pasted from RBI website) in INR mn</t>
  </si>
  <si>
    <t>CRAR (%)</t>
  </si>
  <si>
    <t>Net NPA (%)</t>
  </si>
  <si>
    <t>Advances to Sensitive Sector</t>
  </si>
  <si>
    <t>Cost to Income</t>
  </si>
  <si>
    <t>Credit Cost</t>
  </si>
  <si>
    <t>PPOP/ Credit Cost</t>
  </si>
  <si>
    <t>ALM</t>
  </si>
  <si>
    <t>Top 20 Concentration (%)</t>
  </si>
  <si>
    <t>Industry-wise Expsoure</t>
  </si>
  <si>
    <t>Parent Rating</t>
  </si>
  <si>
    <t>Global A- or higher</t>
  </si>
  <si>
    <t>Global BBB</t>
  </si>
  <si>
    <t>Global BBB-/ Domestic AAA</t>
  </si>
  <si>
    <t>Domestic AA</t>
  </si>
  <si>
    <t>Domestic A or lower/ Unrated</t>
  </si>
  <si>
    <t>Agriculture &amp; Allied Activities</t>
  </si>
  <si>
    <t>Minig &amp; Quaring</t>
  </si>
  <si>
    <t>Food &amp; Food Processing</t>
  </si>
  <si>
    <t>Textiles</t>
  </si>
  <si>
    <t>Material &amp; their Products</t>
  </si>
  <si>
    <t>Petroleum, Coal Products &amp; Nuclear Fuels</t>
  </si>
  <si>
    <t>Chemical &amp; Chemical Products</t>
  </si>
  <si>
    <t>Cement &amp; Cement Products</t>
  </si>
  <si>
    <t>Basic Metal &amp; Metal Product</t>
  </si>
  <si>
    <t>All Engineering</t>
  </si>
  <si>
    <t>Automobile &amp; Ancillary</t>
  </si>
  <si>
    <t>Gems &amp; Jewellery</t>
  </si>
  <si>
    <t>Construction (other than Infrastructure)</t>
  </si>
  <si>
    <t>Power</t>
  </si>
  <si>
    <t>Telecommunication</t>
  </si>
  <si>
    <t>Rest of the Infrastructure</t>
  </si>
  <si>
    <t>NBFCs</t>
  </si>
  <si>
    <t>Other Industries</t>
  </si>
  <si>
    <t>Retail</t>
  </si>
  <si>
    <t>Residual Advances</t>
  </si>
  <si>
    <t>Subjective Parameters</t>
  </si>
  <si>
    <t>Model Inputs</t>
  </si>
  <si>
    <t>Under Basel III</t>
  </si>
  <si>
    <t>Under IFRS 9</t>
  </si>
  <si>
    <t>Priority Sector Advances</t>
  </si>
  <si>
    <t>Return on Net Worth (%)</t>
  </si>
  <si>
    <t>Contingent Liability (% of total assets)</t>
  </si>
  <si>
    <t>Exposure to stressed sectors</t>
  </si>
  <si>
    <t>Top 20 Borrower Concentration</t>
  </si>
  <si>
    <t>Liquidity Coverage Ratio</t>
  </si>
  <si>
    <t>Scheduled Commercial Bank Model</t>
  </si>
  <si>
    <t>Under IND AS 109</t>
  </si>
  <si>
    <t>Exposure to Stressed Sectors (%)</t>
  </si>
  <si>
    <t>Deflator</t>
  </si>
  <si>
    <t>A</t>
  </si>
  <si>
    <t>AA</t>
  </si>
  <si>
    <t>AAA</t>
  </si>
  <si>
    <t>BB</t>
  </si>
  <si>
    <t>BBB</t>
  </si>
  <si>
    <t>C</t>
  </si>
  <si>
    <t>Standalone Rating</t>
  </si>
  <si>
    <t>Rating/ Probability of Default</t>
  </si>
  <si>
    <t>Leverage Ratio</t>
  </si>
  <si>
    <t>Net Stable Funding Ratio</t>
  </si>
  <si>
    <t xml:space="preserve">Adverse News </t>
  </si>
  <si>
    <t>Conduct of Account</t>
  </si>
  <si>
    <t>Rating Caps</t>
  </si>
  <si>
    <t>CRAR</t>
  </si>
  <si>
    <t>Taangible Networth / Net NPA</t>
  </si>
  <si>
    <t>PPOP / Credit Cost</t>
  </si>
  <si>
    <t>Grade</t>
  </si>
  <si>
    <t>Rating</t>
  </si>
  <si>
    <t>PD</t>
  </si>
  <si>
    <t>Industry Risk Score</t>
  </si>
  <si>
    <t>D</t>
  </si>
  <si>
    <t>B</t>
  </si>
  <si>
    <t>Common Equity Tier 1 (%)</t>
  </si>
  <si>
    <t>Provisioning Coverage Ratio</t>
  </si>
  <si>
    <t>Corporate Social Responsibility</t>
  </si>
  <si>
    <t>Scoring</t>
  </si>
  <si>
    <t>Parameter Score x 2</t>
  </si>
  <si>
    <t>&gt;Rs 500000 Cr, Score 10; &lt;=0, Score 0; else Proportionate Score</t>
  </si>
  <si>
    <t>&lt;15%,Score 0; &gt;50%,Score 10; else Proportionate Score</t>
  </si>
  <si>
    <t>&gt;15%,Score 10; &lt;=0, Score 0; else Proportionate Score</t>
  </si>
  <si>
    <t>&gt;10%,Score 0; &lt;=0, Score 10; else Proportionate Score</t>
  </si>
  <si>
    <t>&gt;20%,Score 0;   &lt;=0, Score 10; else Proportionate Score</t>
  </si>
  <si>
    <t>&gt;1.5,Score -3; &gt;2.5,Score -5; else 0</t>
  </si>
  <si>
    <t>&lt;40%,Score -3; &lt;30%,Score -5; else 0</t>
  </si>
  <si>
    <t>&gt;0.25,Score -3; &gt;0.35,Score -5; else 0</t>
  </si>
  <si>
    <t>&lt;20%,Score 10; &gt;80%,Score 0; else Proportionate Score</t>
  </si>
  <si>
    <t>&gt;20%,Score -3; &gt;25%,Score -4; &gt;30%,Score -5; else 0</t>
  </si>
  <si>
    <t>&lt;0,Score 10; &gt;5%, Score 0; else Proportionate Score</t>
  </si>
  <si>
    <t>&lt;0,Score 10,&gt;10%,Score 0, else Proportionate Score</t>
  </si>
  <si>
    <t>&lt;30%,Score 10; &gt;50%,Score 0; else Proportionate Score</t>
  </si>
  <si>
    <t>&lt;4%, Score 10; &gt;6%,Score 0; else Proportionate Score</t>
  </si>
  <si>
    <t>&gt;80%,Score 0; &lt;40%,Score 10; else Proportionate Score</t>
  </si>
  <si>
    <t>&gt;5000,Score 10; else Proportionate Score</t>
  </si>
  <si>
    <t>&gt;20%,Score 10; else Proportionate Score</t>
  </si>
  <si>
    <t>&gt;100%,Score 10; &lt;50%,Score 0; else Proportionate Score</t>
  </si>
  <si>
    <t>&gt;0%,Score 10; &lt;-10%,Score 0; else Proportionate Score</t>
  </si>
  <si>
    <t>&lt;120%,Score -3; &lt;100%,Score -5; else 0</t>
  </si>
  <si>
    <t>&lt;100%,Score -3; &lt;90%,Score -5; else 0</t>
  </si>
  <si>
    <t>&lt;9%, Score 0; &gt;13%,Score 10; else Proportionate Score</t>
  </si>
  <si>
    <t>&lt;0,Score 0; &gt;50000,Score 10; else Proportionate Score</t>
  </si>
  <si>
    <t>&lt;5.5%,Score 0,&gt;9.5%,Score 10; else Proportionate Score</t>
  </si>
  <si>
    <t>&lt;1,Score 0; &gt;10,Score 10; else Proportionate Score</t>
  </si>
  <si>
    <t>&lt;0,Score 0; &gt;18%,Score 10; else Proportionate Score</t>
  </si>
  <si>
    <t>&lt;1,Score 0; &gt;5,Score 10; else Proportionate Score</t>
  </si>
  <si>
    <t>&lt;=0,Score 0; &gt;2%,Score 10; else Proportionate Score</t>
  </si>
  <si>
    <t>3,Score -5; 2,Score -10; else 0</t>
  </si>
  <si>
    <t>2,Score-5; else 0</t>
  </si>
  <si>
    <t>2, Score -3; 1,Score -5; else 0</t>
  </si>
  <si>
    <t>Principal or Interest Payments Days Overdue</t>
  </si>
  <si>
    <t>Tier 1 (%)</t>
  </si>
  <si>
    <t>DPD&gt;30,Score -5; DPD&gt;0, Score -3</t>
  </si>
  <si>
    <t>Company spends on Corporate Social Responsibility as per regulatory requirement</t>
  </si>
  <si>
    <t>Audit Committee meetings held on time</t>
  </si>
  <si>
    <t>Audit Committee discussed all the calendar items in the meeting</t>
  </si>
  <si>
    <t>No Change of Auditors before the term</t>
  </si>
  <si>
    <t>No Independent directors or Key  Management officials resigned before term</t>
  </si>
  <si>
    <t>Centralized database captures all data including branch level operations for all asset and liabilities</t>
  </si>
  <si>
    <t>NPA is System Generated</t>
  </si>
  <si>
    <t>No Delay in  reporting and disclosure as per regulatory requirement</t>
  </si>
  <si>
    <t xml:space="preserve">Competent and Independent Management handles operation of company and promoter is not directly involved in day to day  operation  </t>
  </si>
  <si>
    <t>No divergence between regulator assessment of company financials and Company Audited Financials</t>
  </si>
  <si>
    <t>Qualified Opinion by Auditor</t>
  </si>
  <si>
    <t>Yes</t>
  </si>
  <si>
    <t>No</t>
  </si>
  <si>
    <t xml:space="preserve">Adverse News (Frauds, Breach of regulatory requirements, PCA,Prosecution of Board Members/ Management team, Regulatory penalties etc.)  </t>
  </si>
  <si>
    <t>Not Available</t>
  </si>
  <si>
    <t>NA</t>
  </si>
  <si>
    <t>Stressed Industry</t>
  </si>
  <si>
    <t>SMA  2 under loan portfolio</t>
  </si>
  <si>
    <t>Default with Lenders</t>
  </si>
  <si>
    <t xml:space="preserve">Default with lenders </t>
  </si>
  <si>
    <t>SMA 2 Under Loan Portfolio</t>
  </si>
  <si>
    <t xml:space="preserve">SMA 2 under loan portfolio is less than 3% </t>
  </si>
  <si>
    <t>SMA 2 under loan portfolio is greater than 3% and Less than 5%</t>
  </si>
  <si>
    <t>No Overdue</t>
  </si>
  <si>
    <t>Less than 30 days Overdue</t>
  </si>
  <si>
    <t xml:space="preserve">More than 30 days Overdue                                                </t>
  </si>
  <si>
    <t>Default / Payment track record with lenders</t>
  </si>
  <si>
    <t>Flag</t>
  </si>
  <si>
    <t>SMA 2 under loan portfolio is greater than 5% and Less than 7%</t>
  </si>
  <si>
    <t xml:space="preserve">SMA 2 under loan portfolio is greater than 7% </t>
  </si>
  <si>
    <t>SCB D</t>
  </si>
  <si>
    <t>SCB C</t>
  </si>
  <si>
    <t>SCB B</t>
  </si>
  <si>
    <t>SCB BB</t>
  </si>
  <si>
    <t>SCB BBB</t>
  </si>
  <si>
    <t>SCB A</t>
  </si>
  <si>
    <t>SCB AA</t>
  </si>
  <si>
    <t>SCB AAA</t>
  </si>
  <si>
    <t>Gearing</t>
  </si>
  <si>
    <t>Date of Balance Sheet</t>
  </si>
  <si>
    <t xml:space="preserve">Key Financials </t>
  </si>
  <si>
    <t>Tangible Net Worth</t>
  </si>
  <si>
    <t>&lt;5,Score 10; &gt;15,Score 0; else Proportionate Score</t>
  </si>
  <si>
    <t>If D-SIB then &lt;4%, Score-3,IF Not D-SIB &lt;3.5%,Score -3; else 0</t>
  </si>
  <si>
    <t>Basel III Score</t>
  </si>
  <si>
    <t>Ind AS Score</t>
  </si>
  <si>
    <t>Basel III Value</t>
  </si>
  <si>
    <t>Cutoff</t>
  </si>
  <si>
    <t>Basel III Cap Applied</t>
  </si>
  <si>
    <t>Ind AS Cap Applied</t>
  </si>
  <si>
    <t>Adverse News</t>
  </si>
  <si>
    <t>SMA 2 under loan portfolio</t>
  </si>
  <si>
    <t>Ind AS Value</t>
  </si>
  <si>
    <t>Notch Down Parameter</t>
  </si>
  <si>
    <t>Notch Down Parameters</t>
  </si>
  <si>
    <t>Return on Equity (%)</t>
  </si>
  <si>
    <t>Standalone Score After Notch Down</t>
  </si>
  <si>
    <t>Related Party Transaction</t>
  </si>
  <si>
    <t>No related party transactions</t>
  </si>
  <si>
    <t>Related party transactions as a percentage of revenue OR expenses are &lt;5%</t>
  </si>
  <si>
    <t>Related party transactions as a percentage of revenue OR expenses is 5% to 10%</t>
  </si>
  <si>
    <t>Related party transaction as a percentage of revenue OR expenses is &gt;10%</t>
  </si>
  <si>
    <t>Standalone Score Without Notch Down</t>
  </si>
  <si>
    <t>Credit Deposit Ratio (%)</t>
  </si>
  <si>
    <t>CASA (%)</t>
  </si>
  <si>
    <t>Cost Of Deposits (%)</t>
  </si>
  <si>
    <t>Growth in Deposits (%)</t>
  </si>
  <si>
    <t>Total Cont. Liability/ Total Assets (%)</t>
  </si>
  <si>
    <t>Cost to Income (%)</t>
  </si>
  <si>
    <t>Credit Cost (%)</t>
  </si>
  <si>
    <t>Liquidity Coverage Ratio (%)</t>
  </si>
  <si>
    <t>Net Stable Funding Ratio (%)</t>
  </si>
  <si>
    <t>Gearing (%)</t>
  </si>
  <si>
    <t>Leverage (%)</t>
  </si>
  <si>
    <t>Final Rating After Minimum Threshold Criteria</t>
  </si>
  <si>
    <t>No Adverse News (Frauds, Breach of regulatory requirements, PCA,Prosecution of Board Members/ Management team, Regulatory penalties etc.)  against the Bank or Holding Company</t>
  </si>
  <si>
    <t>Adverse news (Frauds, Breach of regulatory requirements, PCA, Prosecution of Board Members/ Management team, Regulatory penalties etc.) less likely to have a detrimental impact on the HFC (Eg. change in management, change in board members, regulatory restrictions or directives, capital requirements, etc.)</t>
  </si>
  <si>
    <t>Adverse news (Frauds, Breach of regulatory requirements, PCA, Prosecution of Board Members/ Management team, Regulatory penalties etc.) likely to have a detrimental impact on the HFC (Eg. change in management, change in board members, regulatory restrictions or directives, capital requirements, etc.)</t>
  </si>
  <si>
    <t>Adverse news (Frauds, Breach of regulatory requirements, PCA, Prosecution of Board Members/ Management team, Regulatory penalties etc.) extremely likely to have a detrimental impact on the HFC (Eg. change in management, change in board members, regulatory restrictions or directives, capital requirements, etc.)</t>
  </si>
  <si>
    <t>Provisioning Coverage Ratio (%)</t>
  </si>
  <si>
    <t>Tangible NW/ Net NPA (x)</t>
  </si>
  <si>
    <t>PPOP/ Credit Cost (x)</t>
  </si>
  <si>
    <t>Addition in NPAs/ Advances (%)</t>
  </si>
  <si>
    <t>Diversity of Income (%)</t>
  </si>
  <si>
    <t>LCR (%)</t>
  </si>
  <si>
    <t>Leverage  (%)</t>
  </si>
  <si>
    <t>Provisioning Coverage Ratio  (%)</t>
  </si>
  <si>
    <t>SMA 2 under loan portfolio:</t>
  </si>
  <si>
    <t>Inflator</t>
  </si>
  <si>
    <t>External Rating</t>
  </si>
  <si>
    <t>External rating is  AAA</t>
  </si>
  <si>
    <t>External rating is AA (+/-)</t>
  </si>
  <si>
    <t>External rating is A (+/-)</t>
  </si>
  <si>
    <t>External rating is BBB (+/-) or below or Entity is not rated</t>
  </si>
  <si>
    <t>Exposure to capital market/capital funds (%)</t>
  </si>
  <si>
    <t>Exposure to capital market/capital funds</t>
  </si>
  <si>
    <t>Priority sector advances (% of ANBC)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</si>
</sst>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0.0%"/>
    <numFmt numFmtId="166" formatCode="0.0"/>
    <numFmt numFmtId="167" formatCode="[$-409]d\-mmm\-yyyy;@"/>
    <numFmt numFmtId="168" formatCode="[$-409]d\-mmm\-yy;@"/>
    <numFmt numFmtId="169" formatCode="#,##0.0000"/>
    <numFmt numFmtId="170" formatCode="0.0000%"/>
    <numFmt numFmtId="171" formatCode="0.0000"/>
    <numFmt numFmtId="172" formatCode="0.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2"/>
      <color theme="0"/>
      <name val="Calibri"/>
      <family val="2"/>
      <scheme val="minor"/>
    </font>
    <font>
      <b/>
      <sz val="11"/>
      <color theme="0"/>
      <name val="Book Antiqua"/>
      <family val="1"/>
    </font>
    <font>
      <sz val="11"/>
      <color theme="1"/>
      <name val="Book Antiqua"/>
      <family val="1"/>
    </font>
    <font>
      <b/>
      <sz val="11"/>
      <color theme="1"/>
      <name val="Book Antiqua"/>
      <family val="1"/>
    </font>
    <font>
      <sz val="11"/>
      <name val="Book Antiqua"/>
      <family val="1"/>
    </font>
    <font>
      <b/>
      <sz val="11"/>
      <color theme="0"/>
      <name val="Calibri"/>
      <family val="2"/>
      <scheme val="minor"/>
    </font>
    <font>
      <sz val="11"/>
      <color theme="0"/>
      <name val="Calibri"/>
      <family val="2"/>
      <scheme val="minor"/>
    </font>
    <font>
      <b/>
      <sz val="12"/>
      <color theme="0"/>
      <name val="Book Antiqua"/>
      <family val="1"/>
    </font>
    <font>
      <b/>
      <i/>
      <sz val="11"/>
      <color theme="1"/>
      <name val="Book Antiqua"/>
      <family val="1"/>
    </font>
    <font>
      <b/>
      <sz val="11"/>
      <color theme="0" tint="-4.9989318521683403E-2"/>
      <name val="Book Antiqua"/>
      <family val="1"/>
    </font>
    <font>
      <b/>
      <sz val="11"/>
      <color rgb="FF000000"/>
      <name val="Book Antiqua"/>
      <family val="1"/>
    </font>
    <font>
      <sz val="11"/>
      <color rgb="FF000000"/>
      <name val="Book Antiqua"/>
      <family val="1"/>
    </font>
    <font>
      <sz val="11"/>
      <color theme="0"/>
      <name val="Book Antiqua"/>
      <family val="1"/>
    </font>
  </fonts>
  <fills count="1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59999389629810485"/>
        <bgColor indexed="64"/>
      </patternFill>
    </fill>
    <fill>
      <patternFill patternType="solid">
        <fgColor rgb="FFB7DEE8"/>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9" tint="0.79998168889431442"/>
        <bgColor rgb="FFFFFFFF"/>
      </patternFill>
    </fill>
    <fill>
      <patternFill patternType="solid">
        <fgColor theme="9" tint="0.79998168889431442"/>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rgb="FFC00000"/>
        <bgColor indexed="64"/>
      </patternFill>
    </fill>
    <fill>
      <patternFill patternType="solid">
        <fgColor theme="4" tint="-0.499984740745262"/>
        <bgColor indexed="64"/>
      </patternFill>
    </fill>
    <fill>
      <patternFill patternType="solid">
        <fgColor theme="8" tint="0.79998168889431442"/>
        <bgColor rgb="FFFFFFFF"/>
      </patternFill>
    </fill>
  </fills>
  <borders count="22">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23">
    <xf numFmtId="0" fontId="0" fillId="0" borderId="0" xfId="0"/>
    <xf numFmtId="0" fontId="0" fillId="2" borderId="0" xfId="0" applyFill="1"/>
    <xf numFmtId="0" fontId="0" fillId="2" borderId="0" xfId="0" applyFill="1" applyAlignment="1">
      <alignment horizontal="center"/>
    </xf>
    <xf numFmtId="0" fontId="0" fillId="2" borderId="9" xfId="0" applyFill="1" applyBorder="1"/>
    <xf numFmtId="0" fontId="0" fillId="2" borderId="1" xfId="0" applyFill="1" applyBorder="1"/>
    <xf numFmtId="2" fontId="0" fillId="2" borderId="0" xfId="0" applyNumberFormat="1" applyFill="1" applyAlignment="1">
      <alignment horizontal="right"/>
    </xf>
    <xf numFmtId="1" fontId="0" fillId="2" borderId="0" xfId="0" applyNumberFormat="1" applyFill="1" applyAlignment="1">
      <alignment horizontal="right"/>
    </xf>
    <xf numFmtId="2" fontId="0" fillId="2" borderId="0" xfId="0" applyNumberFormat="1" applyFill="1"/>
    <xf numFmtId="1" fontId="0" fillId="2" borderId="0" xfId="0" applyNumberFormat="1" applyFill="1"/>
    <xf numFmtId="3" fontId="0" fillId="2" borderId="0" xfId="0" applyNumberFormat="1" applyFill="1"/>
    <xf numFmtId="0" fontId="2" fillId="2" borderId="0" xfId="0" applyFont="1" applyFill="1"/>
    <xf numFmtId="0" fontId="8" fillId="2" borderId="0" xfId="0" applyFont="1" applyFill="1"/>
    <xf numFmtId="0" fontId="0" fillId="2" borderId="0" xfId="0" applyFill="1" applyAlignment="1">
      <alignment horizontal="left"/>
    </xf>
    <xf numFmtId="0" fontId="7" fillId="2" borderId="19" xfId="0" applyFont="1" applyFill="1" applyBorder="1" applyAlignment="1">
      <alignment vertical="center"/>
    </xf>
    <xf numFmtId="0" fontId="6" fillId="7" borderId="21" xfId="0" applyFont="1" applyFill="1" applyBorder="1" applyAlignment="1">
      <alignment vertical="center" wrapText="1"/>
    </xf>
    <xf numFmtId="0" fontId="6" fillId="7" borderId="3" xfId="0" applyFont="1" applyFill="1" applyBorder="1" applyAlignment="1">
      <alignment vertical="center" wrapText="1"/>
    </xf>
    <xf numFmtId="0" fontId="8" fillId="2" borderId="0" xfId="0" applyFont="1" applyFill="1" applyAlignment="1">
      <alignment vertical="center"/>
    </xf>
    <xf numFmtId="0" fontId="7" fillId="6" borderId="20" xfId="0" applyFont="1" applyFill="1" applyBorder="1" applyAlignment="1" applyProtection="1">
      <alignment horizontal="center" vertical="center"/>
      <protection locked="0"/>
    </xf>
    <xf numFmtId="0" fontId="6" fillId="7" borderId="2" xfId="0" applyFont="1" applyFill="1" applyBorder="1" applyAlignment="1">
      <alignment horizontal="center" vertical="center"/>
    </xf>
    <xf numFmtId="0" fontId="6" fillId="7" borderId="4" xfId="0" applyFont="1" applyFill="1" applyBorder="1" applyAlignment="1">
      <alignment horizontal="center" vertical="center"/>
    </xf>
    <xf numFmtId="0" fontId="8" fillId="2" borderId="0" xfId="0" applyFont="1" applyFill="1" applyAlignment="1">
      <alignment horizontal="center" vertical="center"/>
    </xf>
    <xf numFmtId="0" fontId="6" fillId="2" borderId="0" xfId="0" applyFont="1" applyFill="1"/>
    <xf numFmtId="0" fontId="4" fillId="0" borderId="0" xfId="0" applyFont="1" applyAlignment="1">
      <alignment horizontal="center"/>
    </xf>
    <xf numFmtId="168" fontId="0" fillId="4" borderId="1" xfId="1" applyNumberFormat="1" applyFont="1" applyFill="1" applyBorder="1" applyAlignment="1">
      <alignment horizontal="right"/>
    </xf>
    <xf numFmtId="1" fontId="0" fillId="4" borderId="1" xfId="1" applyNumberFormat="1" applyFont="1" applyFill="1" applyBorder="1" applyAlignment="1">
      <alignment horizontal="right"/>
    </xf>
    <xf numFmtId="0" fontId="0" fillId="2" borderId="1" xfId="0" applyFill="1" applyBorder="1" applyAlignment="1">
      <alignment horizontal="right"/>
    </xf>
    <xf numFmtId="0" fontId="0" fillId="4" borderId="1" xfId="0" applyFill="1" applyBorder="1" applyAlignment="1">
      <alignment horizontal="right"/>
    </xf>
    <xf numFmtId="0" fontId="0" fillId="2" borderId="1" xfId="0" applyFill="1" applyBorder="1" applyAlignment="1">
      <alignment horizontal="center"/>
    </xf>
    <xf numFmtId="3" fontId="0" fillId="2" borderId="1" xfId="0" applyNumberFormat="1" applyFill="1" applyBorder="1" applyAlignment="1">
      <alignment horizontal="right"/>
    </xf>
    <xf numFmtId="165" fontId="0" fillId="2" borderId="1" xfId="1" applyNumberFormat="1" applyFont="1" applyFill="1" applyBorder="1" applyAlignment="1">
      <alignment horizontal="right"/>
    </xf>
    <xf numFmtId="0" fontId="4" fillId="3" borderId="17" xfId="0" applyFont="1" applyFill="1" applyBorder="1" applyAlignment="1">
      <alignment horizontal="left"/>
    </xf>
    <xf numFmtId="0" fontId="10" fillId="3" borderId="1" xfId="0" applyFont="1" applyFill="1" applyBorder="1"/>
    <xf numFmtId="0" fontId="2" fillId="2" borderId="1" xfId="0" applyFont="1" applyFill="1" applyBorder="1"/>
    <xf numFmtId="0" fontId="9" fillId="3" borderId="5" xfId="0" applyFont="1" applyFill="1" applyBorder="1" applyAlignment="1">
      <alignment horizontal="right"/>
    </xf>
    <xf numFmtId="0" fontId="9" fillId="3" borderId="0" xfId="0" applyFont="1" applyFill="1" applyAlignment="1">
      <alignment horizontal="right"/>
    </xf>
    <xf numFmtId="165" fontId="0" fillId="2" borderId="1" xfId="1" applyNumberFormat="1" applyFont="1" applyFill="1" applyBorder="1"/>
    <xf numFmtId="168" fontId="6" fillId="4" borderId="7" xfId="1" applyNumberFormat="1" applyFont="1" applyFill="1" applyBorder="1" applyAlignment="1">
      <alignment horizontal="right"/>
    </xf>
    <xf numFmtId="168" fontId="6" fillId="4" borderId="8" xfId="1" applyNumberFormat="1" applyFont="1" applyFill="1" applyBorder="1" applyAlignment="1">
      <alignment horizontal="right"/>
    </xf>
    <xf numFmtId="1" fontId="6" fillId="4" borderId="0" xfId="1" applyNumberFormat="1" applyFont="1" applyFill="1" applyBorder="1" applyAlignment="1">
      <alignment horizontal="right"/>
    </xf>
    <xf numFmtId="1" fontId="6" fillId="4" borderId="10" xfId="1" applyNumberFormat="1" applyFont="1" applyFill="1" applyBorder="1" applyAlignment="1">
      <alignment horizontal="right"/>
    </xf>
    <xf numFmtId="0" fontId="6" fillId="2" borderId="14" xfId="0" applyFont="1" applyFill="1" applyBorder="1"/>
    <xf numFmtId="3" fontId="6" fillId="4" borderId="7" xfId="0" applyNumberFormat="1" applyFont="1" applyFill="1" applyBorder="1" applyAlignment="1">
      <alignment horizontal="right"/>
    </xf>
    <xf numFmtId="3" fontId="6" fillId="4" borderId="8" xfId="0" applyNumberFormat="1" applyFont="1" applyFill="1" applyBorder="1" applyAlignment="1">
      <alignment horizontal="right"/>
    </xf>
    <xf numFmtId="0" fontId="6" fillId="2" borderId="15" xfId="0" applyFont="1" applyFill="1" applyBorder="1"/>
    <xf numFmtId="3" fontId="6" fillId="4" borderId="0" xfId="0" applyNumberFormat="1" applyFont="1" applyFill="1" applyAlignment="1">
      <alignment horizontal="right"/>
    </xf>
    <xf numFmtId="3" fontId="6" fillId="4" borderId="10" xfId="0" applyNumberFormat="1" applyFont="1" applyFill="1" applyBorder="1" applyAlignment="1">
      <alignment horizontal="right"/>
    </xf>
    <xf numFmtId="0" fontId="12" fillId="2" borderId="16" xfId="0" applyFont="1" applyFill="1" applyBorder="1"/>
    <xf numFmtId="3" fontId="12" fillId="4" borderId="12" xfId="0" applyNumberFormat="1" applyFont="1" applyFill="1" applyBorder="1" applyAlignment="1">
      <alignment horizontal="right"/>
    </xf>
    <xf numFmtId="3" fontId="12" fillId="4" borderId="13" xfId="0" applyNumberFormat="1" applyFont="1" applyFill="1" applyBorder="1" applyAlignment="1">
      <alignment horizontal="right"/>
    </xf>
    <xf numFmtId="3" fontId="8" fillId="4" borderId="10" xfId="0" applyNumberFormat="1" applyFont="1" applyFill="1" applyBorder="1" applyAlignment="1">
      <alignment horizontal="right"/>
    </xf>
    <xf numFmtId="3" fontId="8" fillId="4" borderId="0" xfId="0" applyNumberFormat="1" applyFont="1" applyFill="1" applyAlignment="1">
      <alignment horizontal="right"/>
    </xf>
    <xf numFmtId="3" fontId="7" fillId="4" borderId="5" xfId="0" applyNumberFormat="1" applyFont="1" applyFill="1" applyBorder="1" applyAlignment="1">
      <alignment horizontal="right"/>
    </xf>
    <xf numFmtId="3" fontId="7" fillId="4" borderId="18" xfId="0" applyNumberFormat="1" applyFont="1" applyFill="1" applyBorder="1" applyAlignment="1">
      <alignment horizontal="right"/>
    </xf>
    <xf numFmtId="3" fontId="7" fillId="4" borderId="6" xfId="0" applyNumberFormat="1" applyFont="1" applyFill="1" applyBorder="1" applyAlignment="1">
      <alignment horizontal="right"/>
    </xf>
    <xf numFmtId="3" fontId="7" fillId="4" borderId="7" xfId="0" applyNumberFormat="1" applyFont="1" applyFill="1" applyBorder="1" applyAlignment="1">
      <alignment horizontal="right"/>
    </xf>
    <xf numFmtId="3" fontId="7" fillId="4" borderId="8" xfId="0" applyNumberFormat="1" applyFont="1" applyFill="1" applyBorder="1" applyAlignment="1">
      <alignment horizontal="right"/>
    </xf>
    <xf numFmtId="3" fontId="7" fillId="4" borderId="9" xfId="0" applyNumberFormat="1" applyFont="1" applyFill="1" applyBorder="1" applyAlignment="1">
      <alignment horizontal="right"/>
    </xf>
    <xf numFmtId="3" fontId="7" fillId="4" borderId="0" xfId="0" applyNumberFormat="1" applyFont="1" applyFill="1" applyAlignment="1">
      <alignment horizontal="right"/>
    </xf>
    <xf numFmtId="3" fontId="7" fillId="4" borderId="10" xfId="0" applyNumberFormat="1" applyFont="1" applyFill="1" applyBorder="1" applyAlignment="1">
      <alignment horizontal="right"/>
    </xf>
    <xf numFmtId="3" fontId="7" fillId="4" borderId="11" xfId="0" applyNumberFormat="1" applyFont="1" applyFill="1" applyBorder="1" applyAlignment="1">
      <alignment horizontal="right"/>
    </xf>
    <xf numFmtId="3" fontId="7" fillId="4" borderId="12" xfId="0" applyNumberFormat="1" applyFont="1" applyFill="1" applyBorder="1" applyAlignment="1">
      <alignment horizontal="right"/>
    </xf>
    <xf numFmtId="3" fontId="7" fillId="4" borderId="13" xfId="0" applyNumberFormat="1" applyFont="1" applyFill="1" applyBorder="1" applyAlignment="1">
      <alignment horizontal="right"/>
    </xf>
    <xf numFmtId="0" fontId="7" fillId="2" borderId="9" xfId="0" applyFont="1" applyFill="1" applyBorder="1" applyAlignment="1">
      <alignment horizontal="right"/>
    </xf>
    <xf numFmtId="0" fontId="6" fillId="2" borderId="0" xfId="0" applyFont="1" applyFill="1" applyAlignment="1">
      <alignment horizontal="right"/>
    </xf>
    <xf numFmtId="3" fontId="6" fillId="4" borderId="9" xfId="0" applyNumberFormat="1" applyFont="1" applyFill="1" applyBorder="1" applyAlignment="1">
      <alignment horizontal="right"/>
    </xf>
    <xf numFmtId="0" fontId="7" fillId="2" borderId="0" xfId="0" applyFont="1" applyFill="1" applyAlignment="1">
      <alignment horizontal="right"/>
    </xf>
    <xf numFmtId="3" fontId="6" fillId="2" borderId="9" xfId="0" applyNumberFormat="1" applyFont="1" applyFill="1" applyBorder="1" applyAlignment="1">
      <alignment horizontal="right"/>
    </xf>
    <xf numFmtId="3" fontId="6" fillId="2" borderId="0" xfId="0" applyNumberFormat="1" applyFont="1" applyFill="1" applyAlignment="1">
      <alignment horizontal="right"/>
    </xf>
    <xf numFmtId="3" fontId="6" fillId="2" borderId="10" xfId="0" applyNumberFormat="1" applyFont="1" applyFill="1" applyBorder="1" applyAlignment="1">
      <alignment horizontal="right"/>
    </xf>
    <xf numFmtId="0" fontId="6" fillId="2" borderId="6" xfId="0" applyFont="1" applyFill="1" applyBorder="1"/>
    <xf numFmtId="3" fontId="6" fillId="4" borderId="6" xfId="0" applyNumberFormat="1" applyFont="1" applyFill="1" applyBorder="1" applyAlignment="1">
      <alignment horizontal="right"/>
    </xf>
    <xf numFmtId="0" fontId="6" fillId="2" borderId="9" xfId="0" applyFont="1" applyFill="1" applyBorder="1"/>
    <xf numFmtId="0" fontId="6" fillId="2" borderId="11" xfId="0" applyFont="1" applyFill="1" applyBorder="1"/>
    <xf numFmtId="3" fontId="6" fillId="4" borderId="11" xfId="0" applyNumberFormat="1" applyFont="1" applyFill="1" applyBorder="1" applyAlignment="1">
      <alignment horizontal="right"/>
    </xf>
    <xf numFmtId="3" fontId="6" fillId="4" borderId="12" xfId="0" applyNumberFormat="1" applyFont="1" applyFill="1" applyBorder="1" applyAlignment="1">
      <alignment horizontal="right"/>
    </xf>
    <xf numFmtId="3" fontId="6" fillId="4" borderId="13" xfId="0" applyNumberFormat="1" applyFont="1" applyFill="1" applyBorder="1" applyAlignment="1">
      <alignment horizontal="right"/>
    </xf>
    <xf numFmtId="0" fontId="7" fillId="2" borderId="17" xfId="0" applyFont="1" applyFill="1" applyBorder="1" applyAlignment="1">
      <alignment horizontal="right"/>
    </xf>
    <xf numFmtId="168" fontId="6" fillId="2" borderId="5" xfId="0" applyNumberFormat="1" applyFont="1" applyFill="1" applyBorder="1" applyAlignment="1">
      <alignment horizontal="right"/>
    </xf>
    <xf numFmtId="168" fontId="6" fillId="2" borderId="5" xfId="0" applyNumberFormat="1" applyFont="1" applyFill="1" applyBorder="1"/>
    <xf numFmtId="168" fontId="6" fillId="2" borderId="18" xfId="0" applyNumberFormat="1" applyFont="1" applyFill="1" applyBorder="1"/>
    <xf numFmtId="0" fontId="6" fillId="2" borderId="1" xfId="0" applyFont="1" applyFill="1" applyBorder="1"/>
    <xf numFmtId="3" fontId="6" fillId="4" borderId="5" xfId="0" applyNumberFormat="1" applyFont="1" applyFill="1" applyBorder="1" applyAlignment="1">
      <alignment horizontal="right"/>
    </xf>
    <xf numFmtId="3" fontId="6" fillId="4" borderId="18" xfId="0" applyNumberFormat="1" applyFont="1" applyFill="1" applyBorder="1" applyAlignment="1">
      <alignment horizontal="right"/>
    </xf>
    <xf numFmtId="0" fontId="6" fillId="2" borderId="16" xfId="0" applyFont="1" applyFill="1" applyBorder="1"/>
    <xf numFmtId="0" fontId="7" fillId="2" borderId="16" xfId="0" applyFont="1" applyFill="1" applyBorder="1"/>
    <xf numFmtId="4" fontId="6" fillId="4" borderId="6" xfId="0" applyNumberFormat="1" applyFont="1" applyFill="1" applyBorder="1"/>
    <xf numFmtId="4" fontId="6" fillId="4" borderId="7" xfId="0" applyNumberFormat="1" applyFont="1" applyFill="1" applyBorder="1"/>
    <xf numFmtId="4" fontId="6" fillId="4" borderId="8" xfId="0" applyNumberFormat="1" applyFont="1" applyFill="1" applyBorder="1"/>
    <xf numFmtId="4" fontId="6" fillId="4" borderId="9" xfId="0" applyNumberFormat="1" applyFont="1" applyFill="1" applyBorder="1"/>
    <xf numFmtId="4" fontId="6" fillId="4" borderId="0" xfId="0" applyNumberFormat="1" applyFont="1" applyFill="1"/>
    <xf numFmtId="4" fontId="6" fillId="4" borderId="10" xfId="0" applyNumberFormat="1" applyFont="1" applyFill="1" applyBorder="1"/>
    <xf numFmtId="4" fontId="6" fillId="4" borderId="11" xfId="0" applyNumberFormat="1" applyFont="1" applyFill="1" applyBorder="1"/>
    <xf numFmtId="4" fontId="6" fillId="4" borderId="12" xfId="0" applyNumberFormat="1" applyFont="1" applyFill="1" applyBorder="1"/>
    <xf numFmtId="4" fontId="6" fillId="4" borderId="13" xfId="0" applyNumberFormat="1" applyFont="1" applyFill="1" applyBorder="1"/>
    <xf numFmtId="3" fontId="6" fillId="4" borderId="8" xfId="0" applyNumberFormat="1" applyFont="1" applyFill="1" applyBorder="1"/>
    <xf numFmtId="3" fontId="6" fillId="4" borderId="10" xfId="0" applyNumberFormat="1" applyFont="1" applyFill="1" applyBorder="1"/>
    <xf numFmtId="3" fontId="12" fillId="4" borderId="11" xfId="0" applyNumberFormat="1" applyFont="1" applyFill="1" applyBorder="1" applyAlignment="1">
      <alignment horizontal="right"/>
    </xf>
    <xf numFmtId="3" fontId="12" fillId="4" borderId="13" xfId="0" applyNumberFormat="1" applyFont="1" applyFill="1" applyBorder="1"/>
    <xf numFmtId="0" fontId="12" fillId="2" borderId="15" xfId="0" applyFont="1" applyFill="1" applyBorder="1"/>
    <xf numFmtId="3" fontId="12" fillId="4" borderId="0" xfId="0" applyNumberFormat="1" applyFont="1" applyFill="1" applyAlignment="1">
      <alignment horizontal="right"/>
    </xf>
    <xf numFmtId="3" fontId="12" fillId="4" borderId="10" xfId="0" applyNumberFormat="1" applyFont="1" applyFill="1" applyBorder="1" applyAlignment="1">
      <alignment horizontal="right"/>
    </xf>
    <xf numFmtId="3" fontId="6" fillId="4" borderId="13" xfId="0" applyNumberFormat="1" applyFont="1" applyFill="1" applyBorder="1"/>
    <xf numFmtId="3" fontId="12" fillId="4" borderId="17" xfId="0" applyNumberFormat="1" applyFont="1" applyFill="1" applyBorder="1" applyAlignment="1">
      <alignment horizontal="right"/>
    </xf>
    <xf numFmtId="3" fontId="12" fillId="4" borderId="5" xfId="0" applyNumberFormat="1" applyFont="1" applyFill="1" applyBorder="1" applyAlignment="1">
      <alignment horizontal="right"/>
    </xf>
    <xf numFmtId="3" fontId="12" fillId="4" borderId="18" xfId="0" applyNumberFormat="1" applyFont="1" applyFill="1" applyBorder="1" applyAlignment="1">
      <alignment horizontal="right"/>
    </xf>
    <xf numFmtId="9" fontId="0" fillId="2" borderId="1" xfId="1" applyFont="1" applyFill="1" applyBorder="1" applyAlignment="1">
      <alignment horizontal="right"/>
    </xf>
    <xf numFmtId="9" fontId="0" fillId="0" borderId="1" xfId="0" applyNumberFormat="1" applyBorder="1"/>
    <xf numFmtId="0" fontId="14" fillId="2" borderId="7" xfId="0" applyFont="1" applyFill="1" applyBorder="1" applyAlignment="1">
      <alignment horizontal="left" vertical="center"/>
    </xf>
    <xf numFmtId="0" fontId="14" fillId="2" borderId="0" xfId="0" applyFont="1" applyFill="1" applyAlignment="1">
      <alignment horizontal="center" vertical="center"/>
    </xf>
    <xf numFmtId="0" fontId="15" fillId="5" borderId="1" xfId="0" applyFont="1" applyFill="1" applyBorder="1" applyAlignment="1">
      <alignment horizontal="left" vertical="center"/>
    </xf>
    <xf numFmtId="166" fontId="14" fillId="5" borderId="1" xfId="0" applyNumberFormat="1" applyFont="1" applyFill="1" applyBorder="1" applyAlignment="1">
      <alignment horizontal="center" vertical="center"/>
    </xf>
    <xf numFmtId="0" fontId="15" fillId="12" borderId="1" xfId="0" applyFont="1" applyFill="1" applyBorder="1" applyAlignment="1">
      <alignment horizontal="left" vertical="center"/>
    </xf>
    <xf numFmtId="166" fontId="14" fillId="12" borderId="1" xfId="0" applyNumberFormat="1" applyFont="1" applyFill="1" applyBorder="1" applyAlignment="1">
      <alignment horizontal="center" vertical="center"/>
    </xf>
    <xf numFmtId="0" fontId="15" fillId="9" borderId="1" xfId="0" applyFont="1" applyFill="1" applyBorder="1" applyAlignment="1">
      <alignment horizontal="left" vertical="center"/>
    </xf>
    <xf numFmtId="166" fontId="14" fillId="9" borderId="1" xfId="0" applyNumberFormat="1" applyFont="1" applyFill="1" applyBorder="1" applyAlignment="1">
      <alignment horizontal="center" vertical="center"/>
    </xf>
    <xf numFmtId="166" fontId="14" fillId="10" borderId="1" xfId="0" applyNumberFormat="1" applyFont="1" applyFill="1" applyBorder="1" applyAlignment="1">
      <alignment horizontal="center" vertical="center"/>
    </xf>
    <xf numFmtId="0" fontId="6" fillId="2" borderId="0" xfId="0" applyFont="1" applyFill="1" applyAlignment="1">
      <alignment horizontal="center"/>
    </xf>
    <xf numFmtId="0" fontId="6" fillId="0" borderId="0" xfId="0" applyFont="1"/>
    <xf numFmtId="0" fontId="6" fillId="0" borderId="0" xfId="0" applyFont="1" applyAlignment="1">
      <alignment horizontal="center"/>
    </xf>
    <xf numFmtId="0" fontId="7" fillId="2" borderId="15" xfId="0" applyFont="1" applyFill="1" applyBorder="1"/>
    <xf numFmtId="9" fontId="7" fillId="4" borderId="5" xfId="1" applyFont="1" applyFill="1" applyBorder="1" applyAlignment="1">
      <alignment horizontal="right"/>
    </xf>
    <xf numFmtId="9" fontId="7" fillId="4" borderId="18" xfId="1" applyFont="1" applyFill="1" applyBorder="1" applyAlignment="1">
      <alignment horizontal="right"/>
    </xf>
    <xf numFmtId="166" fontId="14" fillId="11" borderId="1" xfId="0" applyNumberFormat="1" applyFont="1" applyFill="1" applyBorder="1" applyAlignment="1">
      <alignment horizontal="center"/>
    </xf>
    <xf numFmtId="10" fontId="0" fillId="2" borderId="0" xfId="1" applyNumberFormat="1" applyFont="1" applyFill="1"/>
    <xf numFmtId="0" fontId="6" fillId="7" borderId="19" xfId="0" applyFont="1" applyFill="1" applyBorder="1" applyAlignment="1">
      <alignment vertical="center" wrapText="1"/>
    </xf>
    <xf numFmtId="0" fontId="6" fillId="7" borderId="20" xfId="0" applyFont="1" applyFill="1" applyBorder="1" applyAlignment="1">
      <alignment horizontal="center" vertical="center"/>
    </xf>
    <xf numFmtId="9" fontId="14" fillId="9" borderId="1" xfId="1" applyFont="1" applyFill="1" applyBorder="1" applyAlignment="1">
      <alignment horizontal="center" vertical="center"/>
    </xf>
    <xf numFmtId="165" fontId="14" fillId="0" borderId="8" xfId="1" applyNumberFormat="1" applyFont="1" applyFill="1" applyBorder="1" applyAlignment="1">
      <alignment horizontal="center" vertical="center"/>
    </xf>
    <xf numFmtId="165" fontId="6" fillId="0" borderId="0" xfId="1" applyNumberFormat="1" applyFont="1" applyFill="1" applyAlignment="1">
      <alignment horizontal="center"/>
    </xf>
    <xf numFmtId="2" fontId="0" fillId="2" borderId="1" xfId="1" applyNumberFormat="1" applyFont="1" applyFill="1" applyBorder="1" applyAlignment="1">
      <alignment horizontal="right"/>
    </xf>
    <xf numFmtId="0" fontId="2" fillId="13" borderId="1" xfId="0" applyFont="1" applyFill="1" applyBorder="1" applyAlignment="1">
      <alignment horizontal="center"/>
    </xf>
    <xf numFmtId="165" fontId="16" fillId="2" borderId="0" xfId="1" applyNumberFormat="1" applyFont="1" applyFill="1" applyBorder="1" applyAlignment="1">
      <alignment horizontal="center"/>
    </xf>
    <xf numFmtId="165" fontId="5" fillId="2" borderId="0" xfId="1" applyNumberFormat="1" applyFont="1" applyFill="1" applyBorder="1" applyAlignment="1">
      <alignment horizontal="center" vertical="center"/>
    </xf>
    <xf numFmtId="0" fontId="7" fillId="0" borderId="17" xfId="0" applyFont="1" applyBorder="1" applyAlignment="1">
      <alignment vertical="center"/>
    </xf>
    <xf numFmtId="0" fontId="7" fillId="2" borderId="5" xfId="0" applyFont="1" applyFill="1" applyBorder="1"/>
    <xf numFmtId="9" fontId="7" fillId="4" borderId="17" xfId="1" applyFont="1" applyFill="1" applyBorder="1" applyAlignment="1">
      <alignment horizontal="right"/>
    </xf>
    <xf numFmtId="9" fontId="14" fillId="5" borderId="1" xfId="0" applyNumberFormat="1" applyFont="1" applyFill="1" applyBorder="1" applyAlignment="1">
      <alignment horizontal="center" vertical="center"/>
    </xf>
    <xf numFmtId="9" fontId="14" fillId="10" borderId="1" xfId="0" applyNumberFormat="1" applyFont="1" applyFill="1" applyBorder="1" applyAlignment="1">
      <alignment horizontal="center" vertical="center"/>
    </xf>
    <xf numFmtId="9" fontId="14" fillId="12" borderId="1" xfId="1" applyFont="1" applyFill="1" applyBorder="1" applyAlignment="1">
      <alignment horizontal="center" vertical="center"/>
    </xf>
    <xf numFmtId="9" fontId="14" fillId="9" borderId="1" xfId="0" applyNumberFormat="1" applyFont="1" applyFill="1" applyBorder="1" applyAlignment="1">
      <alignment horizontal="center" vertical="center"/>
    </xf>
    <xf numFmtId="10" fontId="0" fillId="2" borderId="1" xfId="1" applyNumberFormat="1" applyFont="1" applyFill="1" applyBorder="1" applyAlignment="1">
      <alignment horizontal="center"/>
    </xf>
    <xf numFmtId="10" fontId="0" fillId="2" borderId="0" xfId="1" applyNumberFormat="1" applyFont="1" applyFill="1" applyBorder="1"/>
    <xf numFmtId="0" fontId="7" fillId="2" borderId="19" xfId="0" applyFont="1" applyFill="1" applyBorder="1" applyAlignment="1">
      <alignment vertical="center" wrapText="1"/>
    </xf>
    <xf numFmtId="0" fontId="2" fillId="0" borderId="0" xfId="0" applyFont="1" applyAlignment="1">
      <alignment horizontal="center"/>
    </xf>
    <xf numFmtId="0" fontId="0" fillId="0" borderId="0" xfId="0" applyAlignment="1">
      <alignment horizontal="center"/>
    </xf>
    <xf numFmtId="10" fontId="0" fillId="0" borderId="0" xfId="1" applyNumberFormat="1" applyFont="1" applyFill="1" applyBorder="1" applyAlignment="1">
      <alignment horizontal="center"/>
    </xf>
    <xf numFmtId="0" fontId="2" fillId="7" borderId="1" xfId="0" applyFont="1" applyFill="1" applyBorder="1"/>
    <xf numFmtId="0" fontId="0" fillId="0" borderId="1" xfId="0" applyBorder="1"/>
    <xf numFmtId="0" fontId="6" fillId="0" borderId="1" xfId="0" applyFont="1" applyBorder="1" applyAlignment="1">
      <alignment wrapText="1"/>
    </xf>
    <xf numFmtId="0" fontId="0" fillId="0" borderId="1" xfId="0" applyBorder="1" applyAlignment="1">
      <alignment vertical="center"/>
    </xf>
    <xf numFmtId="0" fontId="0" fillId="0" borderId="1" xfId="0" applyBorder="1" applyAlignment="1">
      <alignment wrapText="1"/>
    </xf>
    <xf numFmtId="166" fontId="0" fillId="2" borderId="0" xfId="0" applyNumberFormat="1" applyFill="1" applyAlignment="1">
      <alignment horizontal="center"/>
    </xf>
    <xf numFmtId="9" fontId="14" fillId="12" borderId="1" xfId="0" applyNumberFormat="1" applyFont="1" applyFill="1" applyBorder="1" applyAlignment="1">
      <alignment horizontal="center" vertical="center"/>
    </xf>
    <xf numFmtId="9" fontId="14" fillId="5" borderId="1" xfId="1" applyFont="1" applyFill="1" applyBorder="1" applyAlignment="1">
      <alignment horizontal="center" vertical="center"/>
    </xf>
    <xf numFmtId="9" fontId="14" fillId="10" borderId="1" xfId="1" applyFont="1" applyFill="1" applyBorder="1" applyAlignment="1">
      <alignment horizontal="center" vertical="center"/>
    </xf>
    <xf numFmtId="0" fontId="0" fillId="2" borderId="1" xfId="0" applyFill="1" applyBorder="1" applyAlignment="1">
      <alignment vertical="center" wrapText="1"/>
    </xf>
    <xf numFmtId="0" fontId="15" fillId="10" borderId="18" xfId="0" applyFont="1" applyFill="1" applyBorder="1" applyAlignment="1">
      <alignment horizontal="left" vertical="center"/>
    </xf>
    <xf numFmtId="0" fontId="15" fillId="10" borderId="18" xfId="0" applyFont="1" applyFill="1" applyBorder="1" applyAlignment="1">
      <alignment horizontal="left" vertical="center" wrapText="1"/>
    </xf>
    <xf numFmtId="0" fontId="7" fillId="2" borderId="21" xfId="0" applyFont="1" applyFill="1" applyBorder="1" applyAlignment="1">
      <alignment vertical="center"/>
    </xf>
    <xf numFmtId="0" fontId="7" fillId="6" borderId="2" xfId="0" applyFont="1" applyFill="1" applyBorder="1" applyAlignment="1" applyProtection="1">
      <alignment horizontal="center" vertical="center"/>
      <protection locked="0"/>
    </xf>
    <xf numFmtId="0" fontId="7" fillId="2" borderId="21" xfId="0" applyFont="1" applyFill="1" applyBorder="1" applyAlignment="1">
      <alignment vertical="center" wrapText="1"/>
    </xf>
    <xf numFmtId="0" fontId="9" fillId="14" borderId="1" xfId="0" applyFont="1" applyFill="1" applyBorder="1" applyAlignment="1">
      <alignment horizontal="center"/>
    </xf>
    <xf numFmtId="1" fontId="6" fillId="2" borderId="0" xfId="1" applyNumberFormat="1" applyFont="1" applyFill="1"/>
    <xf numFmtId="0" fontId="15" fillId="10" borderId="5" xfId="0" applyFont="1" applyFill="1" applyBorder="1" applyAlignment="1">
      <alignment horizontal="left" vertical="center" wrapText="1"/>
    </xf>
    <xf numFmtId="0" fontId="9" fillId="15" borderId="1" xfId="0" applyFont="1" applyFill="1" applyBorder="1"/>
    <xf numFmtId="166" fontId="0" fillId="0" borderId="0" xfId="0" applyNumberFormat="1" applyAlignment="1">
      <alignment horizontal="center"/>
    </xf>
    <xf numFmtId="0" fontId="9" fillId="15" borderId="1" xfId="0" applyFont="1" applyFill="1" applyBorder="1" applyAlignment="1">
      <alignment horizontal="center"/>
    </xf>
    <xf numFmtId="0" fontId="0" fillId="0" borderId="1" xfId="0" applyBorder="1" applyAlignment="1">
      <alignment horizontal="center"/>
    </xf>
    <xf numFmtId="166" fontId="0" fillId="0" borderId="1" xfId="0" applyNumberFormat="1" applyBorder="1" applyAlignment="1">
      <alignment horizontal="center"/>
    </xf>
    <xf numFmtId="2" fontId="0" fillId="0" borderId="1" xfId="0" applyNumberFormat="1" applyBorder="1" applyAlignment="1">
      <alignment horizontal="center"/>
    </xf>
    <xf numFmtId="168" fontId="0" fillId="2" borderId="0" xfId="0" applyNumberFormat="1" applyFill="1" applyAlignment="1">
      <alignment horizontal="left"/>
    </xf>
    <xf numFmtId="165" fontId="0" fillId="0" borderId="1" xfId="1" applyNumberFormat="1" applyFont="1" applyFill="1" applyBorder="1" applyAlignment="1">
      <alignment horizontal="right"/>
    </xf>
    <xf numFmtId="165" fontId="0" fillId="0" borderId="0" xfId="1" applyNumberFormat="1" applyFont="1" applyFill="1"/>
    <xf numFmtId="165" fontId="5" fillId="0" borderId="0" xfId="1" applyNumberFormat="1" applyFont="1" applyFill="1" applyBorder="1" applyAlignment="1">
      <alignment horizontal="center" vertical="center"/>
    </xf>
    <xf numFmtId="1" fontId="6" fillId="0" borderId="0" xfId="1" applyNumberFormat="1" applyFont="1" applyFill="1"/>
    <xf numFmtId="165" fontId="0" fillId="2" borderId="0" xfId="1" applyNumberFormat="1" applyFont="1" applyFill="1"/>
    <xf numFmtId="2" fontId="0" fillId="0" borderId="1" xfId="1" applyNumberFormat="1" applyFont="1" applyFill="1" applyBorder="1" applyAlignment="1">
      <alignment horizontal="right"/>
    </xf>
    <xf numFmtId="169" fontId="0" fillId="4" borderId="1" xfId="0" applyNumberFormat="1" applyFill="1" applyBorder="1" applyAlignment="1">
      <alignment horizontal="right"/>
    </xf>
    <xf numFmtId="170" fontId="0" fillId="4" borderId="1" xfId="1" applyNumberFormat="1" applyFont="1" applyFill="1" applyBorder="1" applyAlignment="1">
      <alignment horizontal="right"/>
    </xf>
    <xf numFmtId="171" fontId="0" fillId="4" borderId="1" xfId="1" applyNumberFormat="1" applyFont="1" applyFill="1" applyBorder="1" applyAlignment="1">
      <alignment horizontal="right"/>
    </xf>
    <xf numFmtId="171" fontId="0" fillId="4" borderId="1" xfId="0" applyNumberFormat="1" applyFill="1" applyBorder="1" applyAlignment="1">
      <alignment horizontal="right"/>
    </xf>
    <xf numFmtId="172" fontId="0" fillId="4" borderId="1" xfId="0" applyNumberFormat="1" applyFill="1" applyBorder="1" applyAlignment="1">
      <alignment horizontal="right"/>
    </xf>
    <xf numFmtId="170" fontId="0" fillId="4" borderId="18" xfId="1" applyNumberFormat="1" applyFont="1" applyFill="1" applyBorder="1" applyAlignment="1">
      <alignment horizontal="right"/>
    </xf>
    <xf numFmtId="17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0" fontId="9" fillId="15" borderId="14" xfId="0" applyFont="1" applyFill="1" applyBorder="1"/>
    <xf numFmtId="169" fontId="0" fillId="2" borderId="1" xfId="0" applyNumberFormat="1" applyFill="1" applyBorder="1" applyAlignment="1">
      <alignment horizontal="center"/>
    </xf>
    <xf numFmtId="165" fontId="2" fillId="2" borderId="1" xfId="1" applyNumberFormat="1" applyFont="1" applyFill="1" applyBorder="1" applyAlignment="1">
      <alignment horizontal="right"/>
    </xf>
    <xf numFmtId="0" fontId="14" fillId="9" borderId="1" xfId="0" applyFont="1" applyFill="1" applyBorder="1" applyAlignment="1">
      <alignment horizontal="center" vertical="center"/>
    </xf>
    <xf numFmtId="169" fontId="2" fillId="0" borderId="1" xfId="0" applyNumberFormat="1" applyFont="1" applyBorder="1"/>
    <xf numFmtId="3" fontId="0" fillId="0" borderId="1" xfId="0" applyNumberFormat="1" applyBorder="1" applyAlignment="1">
      <alignment horizontal="right"/>
    </xf>
    <xf numFmtId="1" fontId="0" fillId="0" borderId="1" xfId="1" applyNumberFormat="1" applyFont="1" applyFill="1" applyBorder="1" applyAlignment="1">
      <alignment horizontal="right"/>
    </xf>
    <xf numFmtId="10" fontId="0" fillId="0" borderId="1" xfId="1" applyNumberFormat="1" applyFont="1" applyFill="1" applyBorder="1" applyAlignment="1">
      <alignment horizontal="right"/>
    </xf>
    <xf numFmtId="0" fontId="0" fillId="0" borderId="1" xfId="0" applyBorder="1" applyAlignment="1">
      <alignment vertical="center" wrapText="1"/>
    </xf>
    <xf numFmtId="0" fontId="0" fillId="0" borderId="1" xfId="0" applyBorder="1" applyAlignment="1">
      <alignment horizontal="right"/>
    </xf>
    <xf numFmtId="0" fontId="7" fillId="0" borderId="19" xfId="0" applyFont="1" applyBorder="1" applyAlignment="1">
      <alignment vertical="center" wrapText="1"/>
    </xf>
    <xf numFmtId="166" fontId="14" fillId="17" borderId="1" xfId="0" applyNumberFormat="1" applyFont="1" applyFill="1" applyBorder="1" applyAlignment="1">
      <alignment horizontal="center"/>
    </xf>
    <xf numFmtId="166" fontId="14"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xf>
    <xf numFmtId="10" fontId="7" fillId="4" borderId="1" xfId="1" applyNumberFormat="1" applyFont="1" applyFill="1" applyBorder="1" applyAlignment="1">
      <alignment horizontal="center"/>
    </xf>
    <xf numFmtId="9" fontId="14" fillId="10" borderId="1" xfId="1" applyFont="1" applyFill="1" applyBorder="1" applyAlignment="1">
      <alignment horizontal="right" vertical="top"/>
    </xf>
    <xf numFmtId="0" fontId="11" fillId="3" borderId="11" xfId="0" applyFont="1" applyFill="1" applyBorder="1" applyAlignment="1">
      <alignment horizontal="center"/>
    </xf>
    <xf numFmtId="0" fontId="11" fillId="0" borderId="12" xfId="0" applyFont="1" applyBorder="1" applyAlignment="1">
      <alignment horizontal="center"/>
    </xf>
    <xf numFmtId="0" fontId="7" fillId="2" borderId="6" xfId="0" applyFont="1" applyFill="1" applyBorder="1" applyAlignment="1">
      <alignment vertical="center"/>
    </xf>
    <xf numFmtId="0" fontId="7" fillId="0" borderId="9" xfId="0" applyFont="1" applyBorder="1" applyAlignment="1">
      <alignment vertical="center"/>
    </xf>
    <xf numFmtId="0" fontId="7" fillId="0" borderId="11" xfId="0" applyFont="1" applyBorder="1" applyAlignment="1">
      <alignment vertical="center"/>
    </xf>
    <xf numFmtId="0" fontId="7" fillId="0" borderId="17" xfId="0" applyFont="1" applyBorder="1" applyAlignment="1">
      <alignment vertical="center"/>
    </xf>
    <xf numFmtId="0" fontId="0" fillId="0" borderId="5" xfId="0" applyBorder="1"/>
    <xf numFmtId="0" fontId="6" fillId="2" borderId="1" xfId="0" applyFont="1" applyFill="1" applyBorder="1" applyAlignment="1">
      <alignment horizontal="left"/>
    </xf>
    <xf numFmtId="0" fontId="6" fillId="0" borderId="1" xfId="0" applyFont="1" applyBorder="1" applyAlignment="1">
      <alignment horizontal="left"/>
    </xf>
    <xf numFmtId="3" fontId="6" fillId="4" borderId="17" xfId="0" applyNumberFormat="1" applyFont="1" applyFill="1" applyBorder="1" applyAlignment="1">
      <alignment horizontal="center"/>
    </xf>
    <xf numFmtId="0" fontId="6" fillId="0" borderId="5" xfId="0" applyFont="1" applyBorder="1" applyAlignment="1">
      <alignment horizontal="center"/>
    </xf>
    <xf numFmtId="0" fontId="6" fillId="0" borderId="18" xfId="0" applyFont="1" applyBorder="1" applyAlignment="1">
      <alignment horizontal="center"/>
    </xf>
    <xf numFmtId="0" fontId="12" fillId="2" borderId="17" xfId="0" applyFont="1" applyFill="1" applyBorder="1" applyAlignment="1">
      <alignment horizontal="right"/>
    </xf>
    <xf numFmtId="0" fontId="12" fillId="0" borderId="18" xfId="0" applyFont="1" applyBorder="1" applyAlignment="1">
      <alignment horizontal="right"/>
    </xf>
    <xf numFmtId="0" fontId="7" fillId="2" borderId="14" xfId="0" applyFont="1" applyFill="1" applyBorder="1" applyAlignment="1">
      <alignment vertical="center"/>
    </xf>
    <xf numFmtId="0" fontId="7" fillId="0" borderId="15" xfId="0" applyFont="1" applyBorder="1" applyAlignment="1">
      <alignment vertical="center"/>
    </xf>
    <xf numFmtId="0" fontId="7" fillId="0" borderId="16" xfId="0" applyFont="1" applyBorder="1" applyAlignment="1">
      <alignment vertical="center"/>
    </xf>
    <xf numFmtId="0" fontId="7" fillId="2" borderId="6" xfId="0" applyFont="1" applyFill="1" applyBorder="1" applyAlignment="1">
      <alignment vertical="center" wrapText="1"/>
    </xf>
    <xf numFmtId="0" fontId="7" fillId="0" borderId="9" xfId="0" applyFont="1" applyBorder="1" applyAlignment="1">
      <alignment vertical="center" wrapText="1"/>
    </xf>
    <xf numFmtId="0" fontId="7" fillId="0" borderId="11" xfId="0" applyFont="1" applyBorder="1" applyAlignment="1">
      <alignment vertical="center" wrapText="1"/>
    </xf>
    <xf numFmtId="0" fontId="7" fillId="2" borderId="9" xfId="0" applyFont="1" applyFill="1" applyBorder="1" applyAlignment="1">
      <alignment vertical="center"/>
    </xf>
    <xf numFmtId="0" fontId="6" fillId="0" borderId="9" xfId="0" applyFont="1" applyBorder="1" applyAlignment="1">
      <alignment vertical="center"/>
    </xf>
    <xf numFmtId="0" fontId="6" fillId="0" borderId="11" xfId="0" applyFont="1" applyBorder="1" applyAlignment="1">
      <alignment vertical="center"/>
    </xf>
    <xf numFmtId="0" fontId="6" fillId="2" borderId="6" xfId="0" applyFont="1" applyFill="1" applyBorder="1" applyAlignment="1">
      <alignment horizontal="right"/>
    </xf>
    <xf numFmtId="0" fontId="6" fillId="0" borderId="8" xfId="0" applyFont="1" applyBorder="1" applyAlignment="1">
      <alignment horizontal="right"/>
    </xf>
    <xf numFmtId="0" fontId="6" fillId="2" borderId="9" xfId="0" applyFont="1" applyFill="1" applyBorder="1" applyAlignment="1">
      <alignment horizontal="right"/>
    </xf>
    <xf numFmtId="0" fontId="6" fillId="0" borderId="10" xfId="0" applyFont="1" applyBorder="1" applyAlignment="1">
      <alignment horizontal="right"/>
    </xf>
    <xf numFmtId="0" fontId="7" fillId="2" borderId="17" xfId="0" applyFont="1" applyFill="1" applyBorder="1" applyAlignment="1">
      <alignment horizontal="right"/>
    </xf>
    <xf numFmtId="0" fontId="7" fillId="0" borderId="18" xfId="0" applyFont="1" applyBorder="1" applyAlignment="1">
      <alignment horizontal="right"/>
    </xf>
    <xf numFmtId="0" fontId="7" fillId="2" borderId="6" xfId="0" applyFont="1" applyFill="1" applyBorder="1" applyAlignment="1">
      <alignment horizontal="right"/>
    </xf>
    <xf numFmtId="0" fontId="7" fillId="0" borderId="7" xfId="0" applyFont="1" applyBorder="1" applyAlignment="1">
      <alignment horizontal="right"/>
    </xf>
    <xf numFmtId="0" fontId="7" fillId="2" borderId="9" xfId="0" applyFont="1" applyFill="1" applyBorder="1" applyAlignment="1">
      <alignment horizontal="right"/>
    </xf>
    <xf numFmtId="0" fontId="7" fillId="0" borderId="0" xfId="0" applyFont="1" applyAlignment="1">
      <alignment horizontal="right"/>
    </xf>
    <xf numFmtId="0" fontId="7" fillId="2" borderId="11" xfId="0" applyFont="1" applyFill="1" applyBorder="1" applyAlignment="1">
      <alignment horizontal="right"/>
    </xf>
    <xf numFmtId="0" fontId="7" fillId="0" borderId="12" xfId="0" applyFont="1" applyBorder="1" applyAlignment="1">
      <alignment horizontal="right"/>
    </xf>
    <xf numFmtId="0" fontId="7" fillId="2" borderId="14" xfId="0" applyFont="1" applyFill="1" applyBorder="1" applyAlignment="1">
      <alignment horizontal="right" vertical="center" wrapText="1"/>
    </xf>
    <xf numFmtId="0" fontId="6" fillId="0" borderId="15" xfId="0" applyFont="1" applyBorder="1" applyAlignment="1">
      <alignment horizontal="right" vertical="center" wrapText="1"/>
    </xf>
    <xf numFmtId="0" fontId="6" fillId="0" borderId="16" xfId="0" applyFont="1" applyBorder="1" applyAlignment="1">
      <alignment horizontal="righ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4" borderId="17" xfId="0" applyFill="1" applyBorder="1" applyAlignment="1">
      <alignment horizontal="center"/>
    </xf>
    <xf numFmtId="0" fontId="0" fillId="0" borderId="18" xfId="0" applyBorder="1" applyAlignment="1">
      <alignment horizontal="center"/>
    </xf>
    <xf numFmtId="167" fontId="3" fillId="4" borderId="17" xfId="0" applyNumberFormat="1" applyFont="1" applyFill="1" applyBorder="1" applyAlignment="1">
      <alignment horizontal="center"/>
    </xf>
    <xf numFmtId="0" fontId="0" fillId="2" borderId="1" xfId="0" applyFill="1" applyBorder="1"/>
    <xf numFmtId="0" fontId="0" fillId="0" borderId="1" xfId="0" applyBorder="1"/>
    <xf numFmtId="0" fontId="9" fillId="3" borderId="1" xfId="0" applyFont="1" applyFill="1" applyBorder="1"/>
    <xf numFmtId="0" fontId="2" fillId="0" borderId="1" xfId="0" applyFont="1" applyBorder="1"/>
    <xf numFmtId="0" fontId="4" fillId="16" borderId="17" xfId="0" applyFont="1" applyFill="1" applyBorder="1" applyAlignment="1">
      <alignment horizontal="left"/>
    </xf>
    <xf numFmtId="0" fontId="10" fillId="16" borderId="5" xfId="0" applyFont="1" applyFill="1" applyBorder="1"/>
    <xf numFmtId="0" fontId="0" fillId="2" borderId="17" xfId="0" applyFill="1" applyBorder="1" applyAlignment="1">
      <alignment horizontal="center"/>
    </xf>
    <xf numFmtId="0" fontId="0" fillId="2" borderId="17" xfId="0" applyFill="1" applyBorder="1" applyAlignment="1">
      <alignment horizontal="left" wrapText="1"/>
    </xf>
    <xf numFmtId="0" fontId="0" fillId="2" borderId="18" xfId="0" applyFill="1"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0" fillId="2" borderId="17" xfId="0" applyFill="1" applyBorder="1" applyAlignment="1">
      <alignment horizontal="left" vertical="center" wrapText="1"/>
    </xf>
    <xf numFmtId="0" fontId="0" fillId="2" borderId="18" xfId="0" applyFill="1" applyBorder="1" applyAlignment="1">
      <alignment horizontal="left" vertical="center" wrapText="1"/>
    </xf>
    <xf numFmtId="0" fontId="0" fillId="2" borderId="1" xfId="0" applyFill="1" applyBorder="1" applyAlignment="1">
      <alignment horizontal="left" wrapText="1"/>
    </xf>
    <xf numFmtId="0" fontId="10" fillId="3" borderId="1" xfId="0" applyFont="1" applyFill="1" applyBorder="1"/>
    <xf numFmtId="0" fontId="5" fillId="3" borderId="21" xfId="0" applyFont="1" applyFill="1" applyBorder="1" applyAlignment="1">
      <alignment horizontal="center"/>
    </xf>
    <xf numFmtId="0" fontId="5" fillId="3" borderId="2" xfId="0" applyFont="1" applyFill="1" applyBorder="1" applyAlignment="1">
      <alignment horizontal="center"/>
    </xf>
    <xf numFmtId="0" fontId="14" fillId="9" borderId="6" xfId="0" applyFont="1" applyFill="1" applyBorder="1" applyAlignment="1">
      <alignment horizontal="center" vertical="center"/>
    </xf>
    <xf numFmtId="0" fontId="14" fillId="9" borderId="8" xfId="0" applyFont="1" applyFill="1" applyBorder="1" applyAlignment="1">
      <alignment horizontal="center" vertical="center"/>
    </xf>
    <xf numFmtId="0" fontId="14" fillId="9" borderId="9" xfId="0" applyFont="1" applyFill="1" applyBorder="1" applyAlignment="1">
      <alignment horizontal="center" vertical="center"/>
    </xf>
    <xf numFmtId="0" fontId="14" fillId="9" borderId="10" xfId="0" applyFont="1" applyFill="1" applyBorder="1" applyAlignment="1">
      <alignment horizontal="center" vertical="center"/>
    </xf>
    <xf numFmtId="0" fontId="14" fillId="9" borderId="11"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14"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9" fontId="14" fillId="9" borderId="14" xfId="1" applyFont="1" applyFill="1" applyBorder="1" applyAlignment="1">
      <alignment horizontal="center" vertical="center"/>
    </xf>
    <xf numFmtId="9" fontId="14" fillId="9" borderId="15" xfId="1" applyFont="1" applyFill="1" applyBorder="1" applyAlignment="1">
      <alignment horizontal="center" vertical="center"/>
    </xf>
    <xf numFmtId="9" fontId="14" fillId="9" borderId="16" xfId="1" applyFont="1" applyFill="1" applyBorder="1" applyAlignment="1">
      <alignment horizontal="center" vertical="center"/>
    </xf>
    <xf numFmtId="9" fontId="14" fillId="9" borderId="6" xfId="0" applyNumberFormat="1" applyFont="1" applyFill="1" applyBorder="1" applyAlignment="1">
      <alignment horizontal="center" vertical="center"/>
    </xf>
    <xf numFmtId="9" fontId="14" fillId="9" borderId="8" xfId="0" applyNumberFormat="1" applyFont="1" applyFill="1" applyBorder="1" applyAlignment="1">
      <alignment horizontal="center" vertical="center"/>
    </xf>
    <xf numFmtId="9" fontId="14" fillId="9" borderId="9" xfId="0" applyNumberFormat="1" applyFont="1" applyFill="1" applyBorder="1" applyAlignment="1">
      <alignment horizontal="center" vertical="center"/>
    </xf>
    <xf numFmtId="9" fontId="14" fillId="9" borderId="10" xfId="0" applyNumberFormat="1" applyFont="1" applyFill="1" applyBorder="1" applyAlignment="1">
      <alignment horizontal="center" vertical="center"/>
    </xf>
    <xf numFmtId="9" fontId="14" fillId="9" borderId="11" xfId="0" applyNumberFormat="1" applyFont="1" applyFill="1" applyBorder="1" applyAlignment="1">
      <alignment horizontal="center" vertical="center"/>
    </xf>
    <xf numFmtId="9" fontId="14" fillId="9" borderId="13" xfId="0" applyNumberFormat="1" applyFont="1" applyFill="1" applyBorder="1" applyAlignment="1">
      <alignment horizontal="center" vertical="center"/>
    </xf>
    <xf numFmtId="0" fontId="14" fillId="4" borderId="17" xfId="0" applyFont="1" applyFill="1" applyBorder="1" applyAlignment="1">
      <alignment horizontal="left" vertical="center"/>
    </xf>
    <xf numFmtId="0" fontId="0" fillId="0" borderId="5" xfId="0" applyBorder="1" applyAlignment="1">
      <alignment vertical="center"/>
    </xf>
    <xf numFmtId="0" fontId="0" fillId="0" borderId="18" xfId="0" applyBorder="1" applyAlignment="1">
      <alignment vertical="center"/>
    </xf>
    <xf numFmtId="0" fontId="14" fillId="9" borderId="1" xfId="0" applyFont="1" applyFill="1" applyBorder="1" applyAlignment="1">
      <alignment horizontal="center" vertical="center"/>
    </xf>
    <xf numFmtId="9" fontId="14" fillId="9" borderId="1" xfId="0" applyNumberFormat="1" applyFont="1" applyFill="1" applyBorder="1" applyAlignment="1">
      <alignment horizontal="center" vertical="center"/>
    </xf>
    <xf numFmtId="9" fontId="14" fillId="10" borderId="6" xfId="0" applyNumberFormat="1" applyFont="1" applyFill="1" applyBorder="1" applyAlignment="1">
      <alignment horizontal="center" vertical="center"/>
    </xf>
    <xf numFmtId="9" fontId="14" fillId="10" borderId="8" xfId="0" applyNumberFormat="1" applyFont="1" applyFill="1" applyBorder="1" applyAlignment="1">
      <alignment horizontal="center" vertical="center"/>
    </xf>
    <xf numFmtId="9" fontId="14" fillId="10" borderId="9" xfId="0" applyNumberFormat="1" applyFont="1" applyFill="1" applyBorder="1" applyAlignment="1">
      <alignment horizontal="center" vertical="center"/>
    </xf>
    <xf numFmtId="9" fontId="14" fillId="10" borderId="10" xfId="0" applyNumberFormat="1" applyFont="1" applyFill="1" applyBorder="1" applyAlignment="1">
      <alignment horizontal="center" vertical="center"/>
    </xf>
    <xf numFmtId="9" fontId="14" fillId="10" borderId="11" xfId="0" applyNumberFormat="1" applyFont="1" applyFill="1" applyBorder="1" applyAlignment="1">
      <alignment horizontal="center" vertical="center"/>
    </xf>
    <xf numFmtId="9" fontId="14" fillId="10" borderId="13" xfId="0" applyNumberFormat="1" applyFont="1" applyFill="1" applyBorder="1" applyAlignment="1">
      <alignment horizontal="center" vertical="center"/>
    </xf>
    <xf numFmtId="0" fontId="14" fillId="10" borderId="1" xfId="0" applyFont="1" applyFill="1" applyBorder="1" applyAlignment="1">
      <alignment horizontal="center" vertical="center"/>
    </xf>
    <xf numFmtId="0" fontId="14" fillId="4" borderId="5" xfId="0" applyFont="1" applyFill="1" applyBorder="1" applyAlignment="1">
      <alignment horizontal="left" vertical="center"/>
    </xf>
    <xf numFmtId="0" fontId="14" fillId="4" borderId="18" xfId="0" applyFont="1" applyFill="1" applyBorder="1" applyAlignment="1">
      <alignment horizontal="left" vertical="center"/>
    </xf>
    <xf numFmtId="0" fontId="7" fillId="4" borderId="17" xfId="0" applyFont="1" applyFill="1" applyBorder="1" applyAlignment="1">
      <alignment horizontal="left" vertical="center"/>
    </xf>
    <xf numFmtId="0" fontId="7" fillId="4" borderId="5" xfId="0" applyFont="1" applyFill="1" applyBorder="1" applyAlignment="1">
      <alignment horizontal="left" vertical="center"/>
    </xf>
    <xf numFmtId="0" fontId="13" fillId="3" borderId="0" xfId="0" applyFont="1" applyFill="1" applyAlignment="1">
      <alignment horizontal="center"/>
    </xf>
    <xf numFmtId="0" fontId="7" fillId="2" borderId="6" xfId="0" applyFont="1" applyFill="1" applyBorder="1"/>
    <xf numFmtId="0" fontId="7" fillId="2" borderId="7" xfId="0" applyFont="1" applyFill="1" applyBorder="1"/>
    <xf numFmtId="0" fontId="14" fillId="5" borderId="1" xfId="0" applyFont="1" applyFill="1" applyBorder="1" applyAlignment="1">
      <alignment horizontal="left" vertical="center"/>
    </xf>
    <xf numFmtId="9" fontId="14" fillId="5" borderId="1" xfId="0" applyNumberFormat="1" applyFont="1" applyFill="1" applyBorder="1" applyAlignment="1">
      <alignment horizontal="center" vertical="center"/>
    </xf>
    <xf numFmtId="0" fontId="13" fillId="3" borderId="17" xfId="0" applyFont="1" applyFill="1" applyBorder="1" applyAlignment="1">
      <alignment horizontal="center"/>
    </xf>
    <xf numFmtId="0" fontId="13" fillId="3" borderId="5" xfId="0" applyFont="1" applyFill="1" applyBorder="1" applyAlignment="1">
      <alignment horizontal="center"/>
    </xf>
    <xf numFmtId="0" fontId="13" fillId="3" borderId="18" xfId="0" applyFont="1" applyFill="1" applyBorder="1" applyAlignment="1">
      <alignment horizontal="center"/>
    </xf>
    <xf numFmtId="0" fontId="14" fillId="8" borderId="14" xfId="0" applyFont="1" applyFill="1" applyBorder="1" applyAlignment="1">
      <alignment horizontal="center" vertical="center" wrapText="1"/>
    </xf>
    <xf numFmtId="0" fontId="14" fillId="8" borderId="15" xfId="0" applyFont="1" applyFill="1" applyBorder="1" applyAlignment="1">
      <alignment horizontal="center" vertical="center" wrapText="1"/>
    </xf>
    <xf numFmtId="0" fontId="14" fillId="8" borderId="16" xfId="0" applyFont="1" applyFill="1" applyBorder="1" applyAlignment="1">
      <alignment horizontal="center" vertical="center" wrapText="1"/>
    </xf>
    <xf numFmtId="9" fontId="14" fillId="12" borderId="1" xfId="1" applyFont="1" applyFill="1" applyBorder="1" applyAlignment="1">
      <alignment horizontal="center" vertical="center"/>
    </xf>
    <xf numFmtId="0" fontId="14" fillId="12" borderId="1" xfId="0" applyFont="1" applyFill="1" applyBorder="1" applyAlignment="1">
      <alignment horizontal="center" vertical="center"/>
    </xf>
    <xf numFmtId="9" fontId="14" fillId="12" borderId="1" xfId="0" applyNumberFormat="1" applyFont="1" applyFill="1" applyBorder="1" applyAlignment="1">
      <alignment horizontal="center" vertical="center"/>
    </xf>
    <xf numFmtId="0" fontId="14" fillId="12" borderId="1" xfId="0" applyFont="1" applyFill="1" applyBorder="1" applyAlignment="1">
      <alignment horizontal="center" vertical="center" wrapText="1"/>
    </xf>
    <xf numFmtId="0" fontId="14" fillId="12" borderId="6" xfId="0" applyFont="1" applyFill="1" applyBorder="1" applyAlignment="1">
      <alignment horizontal="center" vertical="center"/>
    </xf>
    <xf numFmtId="0" fontId="14" fillId="12" borderId="8" xfId="0" applyFont="1" applyFill="1" applyBorder="1" applyAlignment="1">
      <alignment horizontal="center" vertical="center"/>
    </xf>
    <xf numFmtId="0" fontId="14" fillId="12" borderId="9" xfId="0" applyFont="1" applyFill="1" applyBorder="1" applyAlignment="1">
      <alignment horizontal="center" vertical="center"/>
    </xf>
    <xf numFmtId="0" fontId="14" fillId="12" borderId="10" xfId="0" applyFont="1" applyFill="1" applyBorder="1" applyAlignment="1">
      <alignment horizontal="center" vertical="center"/>
    </xf>
    <xf numFmtId="0" fontId="14" fillId="12" borderId="11" xfId="0" applyFont="1" applyFill="1" applyBorder="1" applyAlignment="1">
      <alignment horizontal="center" vertical="center"/>
    </xf>
    <xf numFmtId="0" fontId="14" fillId="12" borderId="13" xfId="0" applyFont="1" applyFill="1" applyBorder="1" applyAlignment="1">
      <alignment horizontal="center" vertical="center"/>
    </xf>
    <xf numFmtId="9" fontId="14" fillId="12" borderId="6" xfId="1" applyFont="1" applyFill="1" applyBorder="1" applyAlignment="1">
      <alignment horizontal="center" vertical="center"/>
    </xf>
    <xf numFmtId="9" fontId="14" fillId="12" borderId="8" xfId="1" applyFont="1" applyFill="1" applyBorder="1" applyAlignment="1">
      <alignment horizontal="center" vertical="center"/>
    </xf>
    <xf numFmtId="9" fontId="14" fillId="12" borderId="9" xfId="1" applyFont="1" applyFill="1" applyBorder="1" applyAlignment="1">
      <alignment horizontal="center" vertical="center"/>
    </xf>
    <xf numFmtId="9" fontId="14" fillId="12" borderId="10" xfId="1" applyFont="1" applyFill="1" applyBorder="1" applyAlignment="1">
      <alignment horizontal="center" vertical="center"/>
    </xf>
    <xf numFmtId="9" fontId="14" fillId="12" borderId="11" xfId="1" applyFont="1" applyFill="1" applyBorder="1" applyAlignment="1">
      <alignment horizontal="center" vertical="center"/>
    </xf>
    <xf numFmtId="9" fontId="14" fillId="12" borderId="13" xfId="1" applyFont="1" applyFill="1" applyBorder="1" applyAlignment="1">
      <alignment horizontal="center" vertical="center"/>
    </xf>
  </cellXfs>
  <cellStyles count="3">
    <cellStyle name="Comma 3" xfId="2" xr:uid="{00000000-0005-0000-0000-000000000000}"/>
    <cellStyle name="Normal" xfId="0" builtinId="0"/>
    <cellStyle name="Percent" xfId="1" builtinId="5"/>
  </cellStyles>
  <dxfs count="1">
    <dxf>
      <font>
        <color theme="0"/>
      </font>
      <fill>
        <patternFill>
          <bgColor rgb="FFC00000"/>
        </patternFill>
      </fill>
    </dxf>
  </dxfs>
  <tableStyles count="0" defaultTableStyle="TableStyleMedium2" defaultPivotStyle="PivotStyleLight16"/>
  <colors>
    <mruColors>
      <color rgb="FF44697D"/>
      <color rgb="FFCC0033"/>
      <color rgb="FFD1D4D3"/>
      <color rgb="FFF6EEDD"/>
      <color rgb="FF792258"/>
      <color rgb="FF6D213F"/>
      <color rgb="FF7B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8/Mandates/IDFC/Deliverable%202/IRR_IDFC_Bank%20Model_1601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2018\Mandates\IDFC\Deliverable%202\IRR_IDFC_Bank%20Model_1601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 Data Input"/>
      <sheetName val="Qualitative Data Input"/>
      <sheetName val="Input Range"/>
      <sheetName val="Summary Analytics"/>
      <sheetName val="Lookup"/>
      <sheetName val="Output"/>
      <sheetName val="Calculations"/>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Range"/>
      <sheetName val="Definitions"/>
      <sheetName val="Financial Data Input"/>
      <sheetName val="Qualitative Data Input"/>
      <sheetName val="Summary Analytics"/>
      <sheetName val="Lookup"/>
      <sheetName val="Output"/>
      <sheetName val="Calcul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27"/>
  <sheetViews>
    <sheetView topLeftCell="A188" zoomScale="80" zoomScaleNormal="80" workbookViewId="0">
      <selection activeCell="D197" sqref="D197"/>
    </sheetView>
  </sheetViews>
  <sheetFormatPr defaultRowHeight="15" x14ac:dyDescent="0.25"/>
  <cols>
    <col min="1" max="1" width="32.140625" style="1" customWidth="1"/>
    <col min="2" max="2" width="57.5703125" style="1" bestFit="1" customWidth="1"/>
    <col min="3" max="4" width="25.7109375" style="2" customWidth="1"/>
    <col min="5" max="5" width="25.7109375" style="1" customWidth="1"/>
    <col min="6" max="6" width="12.7109375" style="1" customWidth="1"/>
    <col min="7" max="7" width="19.7109375" style="1" customWidth="1"/>
    <col min="8" max="8" width="17.140625" style="1" customWidth="1"/>
    <col min="9" max="30" width="9.140625" style="1"/>
  </cols>
  <sheetData>
    <row r="1" spans="1:5" s="1" customFormat="1" ht="16.5" x14ac:dyDescent="0.3">
      <c r="A1" s="202" t="s">
        <v>232</v>
      </c>
      <c r="B1" s="203"/>
      <c r="C1" s="203"/>
      <c r="D1" s="203"/>
      <c r="E1" s="203"/>
    </row>
    <row r="2" spans="1:5" s="1" customFormat="1" ht="16.5" x14ac:dyDescent="0.3">
      <c r="A2" s="225" t="s">
        <v>138</v>
      </c>
      <c r="B2" s="226"/>
      <c r="C2" s="36">
        <v>42460</v>
      </c>
      <c r="D2" s="36">
        <v>42825</v>
      </c>
      <c r="E2" s="37">
        <v>43190</v>
      </c>
    </row>
    <row r="3" spans="1:5" s="1" customFormat="1" ht="16.5" x14ac:dyDescent="0.3">
      <c r="A3" s="227" t="s">
        <v>139</v>
      </c>
      <c r="B3" s="228"/>
      <c r="C3" s="38">
        <v>12</v>
      </c>
      <c r="D3" s="38">
        <v>12</v>
      </c>
      <c r="E3" s="39">
        <v>12</v>
      </c>
    </row>
    <row r="4" spans="1:5" s="1" customFormat="1" ht="16.5" x14ac:dyDescent="0.3">
      <c r="A4" s="204" t="s">
        <v>144</v>
      </c>
      <c r="B4" s="40" t="s">
        <v>23</v>
      </c>
      <c r="C4" s="41">
        <v>144863.92600000001</v>
      </c>
      <c r="D4" s="41">
        <v>126030.96</v>
      </c>
      <c r="E4" s="42">
        <v>110285.356</v>
      </c>
    </row>
    <row r="5" spans="1:5" s="1" customFormat="1" ht="16.5" x14ac:dyDescent="0.3">
      <c r="A5" s="205"/>
      <c r="B5" s="43" t="s">
        <v>24</v>
      </c>
      <c r="C5" s="44">
        <v>39896.063000000002</v>
      </c>
      <c r="D5" s="44">
        <v>41201.239000000001</v>
      </c>
      <c r="E5" s="45">
        <v>40973.392999999996</v>
      </c>
    </row>
    <row r="6" spans="1:5" s="1" customFormat="1" ht="16.5" x14ac:dyDescent="0.3">
      <c r="A6" s="205"/>
      <c r="B6" s="43" t="s">
        <v>25</v>
      </c>
      <c r="C6" s="44">
        <v>2849.43</v>
      </c>
      <c r="D6" s="44">
        <v>6126.9040000000005</v>
      </c>
      <c r="E6" s="45">
        <v>9686.5669999999991</v>
      </c>
    </row>
    <row r="7" spans="1:5" s="1" customFormat="1" ht="16.5" x14ac:dyDescent="0.3">
      <c r="A7" s="205"/>
      <c r="B7" s="43" t="s">
        <v>26</v>
      </c>
      <c r="C7" s="44">
        <v>1240.0360000000001</v>
      </c>
      <c r="D7" s="44">
        <v>3244.8330000000001</v>
      </c>
      <c r="E7" s="45">
        <v>2639.61</v>
      </c>
    </row>
    <row r="8" spans="1:5" s="1" customFormat="1" x14ac:dyDescent="0.25">
      <c r="A8" s="206"/>
      <c r="B8" s="46" t="s">
        <v>140</v>
      </c>
      <c r="C8" s="47">
        <v>188849.45499999999</v>
      </c>
      <c r="D8" s="47">
        <v>176603.93599999999</v>
      </c>
      <c r="E8" s="48">
        <v>163584.92600000001</v>
      </c>
    </row>
    <row r="9" spans="1:5" s="1" customFormat="1" ht="16.5" x14ac:dyDescent="0.3">
      <c r="A9" s="204" t="s">
        <v>145</v>
      </c>
      <c r="B9" s="40" t="s">
        <v>27</v>
      </c>
      <c r="C9" s="41">
        <v>10216.974</v>
      </c>
      <c r="D9" s="41">
        <v>9994.2279999999992</v>
      </c>
      <c r="E9" s="42">
        <v>10006.33</v>
      </c>
    </row>
    <row r="10" spans="1:5" s="1" customFormat="1" ht="16.5" x14ac:dyDescent="0.3">
      <c r="A10" s="205"/>
      <c r="B10" s="43" t="s">
        <v>28</v>
      </c>
      <c r="C10" s="44">
        <v>4135.4179999999997</v>
      </c>
      <c r="D10" s="44">
        <v>9119.7510000000002</v>
      </c>
      <c r="E10" s="49">
        <v>6105.7370000000001</v>
      </c>
    </row>
    <row r="11" spans="1:5" s="1" customFormat="1" ht="16.5" x14ac:dyDescent="0.3">
      <c r="A11" s="205"/>
      <c r="B11" s="43" t="s">
        <v>29</v>
      </c>
      <c r="C11" s="44" t="s">
        <v>151</v>
      </c>
      <c r="D11" s="44" t="s">
        <v>151</v>
      </c>
      <c r="E11" s="49" t="s">
        <v>151</v>
      </c>
    </row>
    <row r="12" spans="1:5" s="1" customFormat="1" ht="16.5" x14ac:dyDescent="0.3">
      <c r="A12" s="205"/>
      <c r="B12" s="43" t="s">
        <v>30</v>
      </c>
      <c r="C12" s="44">
        <v>0.77900000000000003</v>
      </c>
      <c r="D12" s="44">
        <v>0.27100000000000002</v>
      </c>
      <c r="E12" s="49">
        <v>-6.4000000000000001E-2</v>
      </c>
    </row>
    <row r="13" spans="1:5" s="1" customFormat="1" ht="16.5" x14ac:dyDescent="0.3">
      <c r="A13" s="205"/>
      <c r="B13" s="43" t="s">
        <v>31</v>
      </c>
      <c r="C13" s="44">
        <v>1980.0429999999999</v>
      </c>
      <c r="D13" s="44">
        <v>3524.8649999999998</v>
      </c>
      <c r="E13" s="49">
        <v>1886.2280000000001</v>
      </c>
    </row>
    <row r="14" spans="1:5" s="1" customFormat="1" ht="16.5" x14ac:dyDescent="0.3">
      <c r="A14" s="205"/>
      <c r="B14" s="43" t="s">
        <v>32</v>
      </c>
      <c r="C14" s="44">
        <v>2768.0509999999999</v>
      </c>
      <c r="D14" s="50">
        <v>3804.1959999999999</v>
      </c>
      <c r="E14" s="49">
        <v>8927.3709999999992</v>
      </c>
    </row>
    <row r="15" spans="1:5" s="1" customFormat="1" x14ac:dyDescent="0.25">
      <c r="A15" s="206"/>
      <c r="B15" s="46" t="s">
        <v>141</v>
      </c>
      <c r="C15" s="47">
        <v>19101.264999999999</v>
      </c>
      <c r="D15" s="47">
        <v>26443.311000000002</v>
      </c>
      <c r="E15" s="48">
        <v>26925.601999999999</v>
      </c>
    </row>
    <row r="16" spans="1:5" s="1" customFormat="1" x14ac:dyDescent="0.25">
      <c r="A16" s="229" t="s">
        <v>142</v>
      </c>
      <c r="B16" s="230"/>
      <c r="C16" s="51">
        <v>207950.72</v>
      </c>
      <c r="D16" s="51">
        <v>203047.247</v>
      </c>
      <c r="E16" s="52">
        <v>190510.52799999999</v>
      </c>
    </row>
    <row r="17" spans="1:5" s="1" customFormat="1" ht="16.5" x14ac:dyDescent="0.3">
      <c r="A17" s="204" t="s">
        <v>6</v>
      </c>
      <c r="B17" s="40" t="s">
        <v>7</v>
      </c>
      <c r="C17" s="41">
        <v>122968.63099999999</v>
      </c>
      <c r="D17" s="41">
        <v>117592.519</v>
      </c>
      <c r="E17" s="42">
        <v>108600.273</v>
      </c>
    </row>
    <row r="18" spans="1:5" s="1" customFormat="1" ht="16.5" x14ac:dyDescent="0.3">
      <c r="A18" s="205"/>
      <c r="B18" s="43" t="s">
        <v>8</v>
      </c>
      <c r="C18" s="44">
        <v>1649.096</v>
      </c>
      <c r="D18" s="44">
        <v>903.39200000000005</v>
      </c>
      <c r="E18" s="45">
        <v>1368.5029999999999</v>
      </c>
    </row>
    <row r="19" spans="1:5" s="1" customFormat="1" ht="16.5" x14ac:dyDescent="0.3">
      <c r="A19" s="205"/>
      <c r="B19" s="43" t="s">
        <v>9</v>
      </c>
      <c r="C19" s="44">
        <v>5246.8019999999997</v>
      </c>
      <c r="D19" s="44">
        <v>5237.7250000000004</v>
      </c>
      <c r="E19" s="45">
        <v>6292.2510000000002</v>
      </c>
    </row>
    <row r="20" spans="1:5" s="1" customFormat="1" x14ac:dyDescent="0.25">
      <c r="A20" s="206"/>
      <c r="B20" s="46" t="s">
        <v>143</v>
      </c>
      <c r="C20" s="47">
        <v>129864.52899999999</v>
      </c>
      <c r="D20" s="47">
        <v>123733.636</v>
      </c>
      <c r="E20" s="48">
        <v>116261.027</v>
      </c>
    </row>
    <row r="21" spans="1:5" s="1" customFormat="1" ht="16.5" x14ac:dyDescent="0.3">
      <c r="A21" s="222" t="s">
        <v>10</v>
      </c>
      <c r="B21" s="43" t="s">
        <v>11</v>
      </c>
      <c r="C21" s="44">
        <v>21308.805</v>
      </c>
      <c r="D21" s="44">
        <v>22859.371999999999</v>
      </c>
      <c r="E21" s="45">
        <v>21581.041000000001</v>
      </c>
    </row>
    <row r="22" spans="1:5" s="1" customFormat="1" ht="16.5" x14ac:dyDescent="0.3">
      <c r="A22" s="205"/>
      <c r="B22" s="43" t="s">
        <v>12</v>
      </c>
      <c r="C22" s="44">
        <v>4459.41</v>
      </c>
      <c r="D22" s="44">
        <v>5028.8270000000002</v>
      </c>
      <c r="E22" s="45">
        <v>4350.152</v>
      </c>
    </row>
    <row r="23" spans="1:5" s="1" customFormat="1" ht="16.5" x14ac:dyDescent="0.3">
      <c r="A23" s="205"/>
      <c r="B23" s="43" t="s">
        <v>13</v>
      </c>
      <c r="C23" s="44">
        <v>340.27600000000001</v>
      </c>
      <c r="D23" s="44">
        <v>361.72199999999998</v>
      </c>
      <c r="E23" s="45">
        <v>404.02800000000002</v>
      </c>
    </row>
    <row r="24" spans="1:5" s="1" customFormat="1" ht="16.5" x14ac:dyDescent="0.3">
      <c r="A24" s="205"/>
      <c r="B24" s="43" t="s">
        <v>14</v>
      </c>
      <c r="C24" s="44">
        <v>188.26</v>
      </c>
      <c r="D24" s="44">
        <v>155.29599999999999</v>
      </c>
      <c r="E24" s="45">
        <v>104.187</v>
      </c>
    </row>
    <row r="25" spans="1:5" s="1" customFormat="1" ht="16.5" x14ac:dyDescent="0.3">
      <c r="A25" s="205"/>
      <c r="B25" s="43" t="s">
        <v>15</v>
      </c>
      <c r="C25" s="44">
        <v>1163.1590000000001</v>
      </c>
      <c r="D25" s="44">
        <v>1567.453</v>
      </c>
      <c r="E25" s="45">
        <v>1431.018</v>
      </c>
    </row>
    <row r="26" spans="1:5" s="1" customFormat="1" ht="16.5" x14ac:dyDescent="0.3">
      <c r="A26" s="205"/>
      <c r="B26" s="43" t="s">
        <v>16</v>
      </c>
      <c r="C26" s="44">
        <v>17.105</v>
      </c>
      <c r="D26" s="44">
        <v>14.457000000000001</v>
      </c>
      <c r="E26" s="45">
        <v>15.093999999999999</v>
      </c>
    </row>
    <row r="27" spans="1:5" s="1" customFormat="1" ht="16.5" x14ac:dyDescent="0.3">
      <c r="A27" s="205"/>
      <c r="B27" s="43" t="s">
        <v>17</v>
      </c>
      <c r="C27" s="44">
        <v>248.83799999999999</v>
      </c>
      <c r="D27" s="44">
        <v>253.36</v>
      </c>
      <c r="E27" s="45">
        <v>260.78699999999998</v>
      </c>
    </row>
    <row r="28" spans="1:5" s="1" customFormat="1" ht="16.5" x14ac:dyDescent="0.3">
      <c r="A28" s="205"/>
      <c r="B28" s="43" t="s">
        <v>18</v>
      </c>
      <c r="C28" s="44">
        <v>215.10599999999999</v>
      </c>
      <c r="D28" s="44">
        <v>233.19399999999999</v>
      </c>
      <c r="E28" s="45">
        <v>223.48400000000001</v>
      </c>
    </row>
    <row r="29" spans="1:5" s="1" customFormat="1" ht="16.5" x14ac:dyDescent="0.3">
      <c r="A29" s="205"/>
      <c r="B29" s="43" t="s">
        <v>19</v>
      </c>
      <c r="C29" s="44">
        <v>625.29700000000003</v>
      </c>
      <c r="D29" s="44">
        <v>762.279</v>
      </c>
      <c r="E29" s="45">
        <v>788.375</v>
      </c>
    </row>
    <row r="30" spans="1:5" s="1" customFormat="1" ht="16.5" x14ac:dyDescent="0.3">
      <c r="A30" s="205"/>
      <c r="B30" s="43" t="s">
        <v>20</v>
      </c>
      <c r="C30" s="44">
        <v>1121.0160000000001</v>
      </c>
      <c r="D30" s="44">
        <v>1384.242</v>
      </c>
      <c r="E30" s="45">
        <v>1246.7470000000001</v>
      </c>
    </row>
    <row r="31" spans="1:5" s="1" customFormat="1" ht="16.5" x14ac:dyDescent="0.3">
      <c r="A31" s="205"/>
      <c r="B31" s="43" t="s">
        <v>21</v>
      </c>
      <c r="C31" s="44">
        <v>1906.981</v>
      </c>
      <c r="D31" s="44">
        <v>2098.3760000000002</v>
      </c>
      <c r="E31" s="45">
        <v>2252.6320000000001</v>
      </c>
    </row>
    <row r="32" spans="1:5" s="1" customFormat="1" ht="16.5" x14ac:dyDescent="0.3">
      <c r="A32" s="205"/>
      <c r="B32" s="43" t="s">
        <v>22</v>
      </c>
      <c r="C32" s="44">
        <v>5152.91</v>
      </c>
      <c r="D32" s="44">
        <v>5927.3419999999996</v>
      </c>
      <c r="E32" s="45">
        <v>7208.7160000000003</v>
      </c>
    </row>
    <row r="33" spans="1:5" s="1" customFormat="1" x14ac:dyDescent="0.25">
      <c r="A33" s="206"/>
      <c r="B33" s="46" t="s">
        <v>146</v>
      </c>
      <c r="C33" s="47">
        <v>36747.163</v>
      </c>
      <c r="D33" s="47">
        <v>40645.919999999998</v>
      </c>
      <c r="E33" s="48">
        <v>39866.260999999999</v>
      </c>
    </row>
    <row r="34" spans="1:5" s="1" customFormat="1" x14ac:dyDescent="0.25">
      <c r="A34" s="231" t="s">
        <v>147</v>
      </c>
      <c r="B34" s="232"/>
      <c r="C34" s="53">
        <v>58984.925999999999</v>
      </c>
      <c r="D34" s="54">
        <v>52870.3</v>
      </c>
      <c r="E34" s="55">
        <v>47323.898999999998</v>
      </c>
    </row>
    <row r="35" spans="1:5" s="1" customFormat="1" x14ac:dyDescent="0.25">
      <c r="A35" s="233" t="s">
        <v>148</v>
      </c>
      <c r="B35" s="234"/>
      <c r="C35" s="56">
        <v>48772.110999999997</v>
      </c>
      <c r="D35" s="57">
        <v>41802.851000000002</v>
      </c>
      <c r="E35" s="58">
        <v>81126.918999999994</v>
      </c>
    </row>
    <row r="36" spans="1:5" s="1" customFormat="1" x14ac:dyDescent="0.25">
      <c r="A36" s="233" t="s">
        <v>149</v>
      </c>
      <c r="B36" s="234"/>
      <c r="C36" s="56">
        <v>41339.027999999998</v>
      </c>
      <c r="D36" s="57">
        <v>38667.690999999999</v>
      </c>
      <c r="E36" s="58">
        <v>34383.24</v>
      </c>
    </row>
    <row r="37" spans="1:5" s="1" customFormat="1" x14ac:dyDescent="0.25">
      <c r="A37" s="235" t="s">
        <v>150</v>
      </c>
      <c r="B37" s="236"/>
      <c r="C37" s="59">
        <v>-7433.0829999999996</v>
      </c>
      <c r="D37" s="60">
        <v>-3135.16</v>
      </c>
      <c r="E37" s="61">
        <v>-46743.678999999996</v>
      </c>
    </row>
    <row r="38" spans="1:5" s="1" customFormat="1" ht="16.5" x14ac:dyDescent="0.3">
      <c r="A38" s="62"/>
      <c r="B38" s="63" t="s">
        <v>171</v>
      </c>
      <c r="C38" s="64">
        <v>0</v>
      </c>
      <c r="D38" s="44">
        <v>0</v>
      </c>
      <c r="E38" s="45">
        <v>0</v>
      </c>
    </row>
    <row r="39" spans="1:5" s="1" customFormat="1" ht="16.5" x14ac:dyDescent="0.3">
      <c r="A39" s="62"/>
      <c r="B39" s="65" t="s">
        <v>172</v>
      </c>
      <c r="C39" s="66">
        <f>C37-C38</f>
        <v>-7433.0829999999996</v>
      </c>
      <c r="D39" s="67">
        <f>D37-D38</f>
        <v>-3135.16</v>
      </c>
      <c r="E39" s="68">
        <f>E37-E38</f>
        <v>-46743.678999999996</v>
      </c>
    </row>
    <row r="40" spans="1:5" s="1" customFormat="1" ht="16.5" x14ac:dyDescent="0.3">
      <c r="A40" s="237" t="s">
        <v>152</v>
      </c>
      <c r="B40" s="69" t="s">
        <v>112</v>
      </c>
      <c r="C40" s="70">
        <v>-3759.7</v>
      </c>
      <c r="D40" s="41">
        <v>-2912</v>
      </c>
      <c r="E40" s="42">
        <v>-19166.5</v>
      </c>
    </row>
    <row r="41" spans="1:5" s="1" customFormat="1" ht="16.5" x14ac:dyDescent="0.3">
      <c r="A41" s="238"/>
      <c r="B41" s="71" t="s">
        <v>113</v>
      </c>
      <c r="C41" s="64">
        <v>59730.5</v>
      </c>
      <c r="D41" s="44">
        <v>45523.7</v>
      </c>
      <c r="E41" s="45">
        <v>103264.5</v>
      </c>
    </row>
    <row r="42" spans="1:5" s="1" customFormat="1" ht="16.5" x14ac:dyDescent="0.3">
      <c r="A42" s="238"/>
      <c r="B42" s="71" t="s">
        <v>114</v>
      </c>
      <c r="C42" s="64">
        <v>863.7</v>
      </c>
      <c r="D42" s="44">
        <v>2457.9</v>
      </c>
      <c r="E42" s="45">
        <v>7432.7</v>
      </c>
    </row>
    <row r="43" spans="1:5" s="1" customFormat="1" ht="16.5" x14ac:dyDescent="0.3">
      <c r="A43" s="238"/>
      <c r="B43" s="71" t="s">
        <v>115</v>
      </c>
      <c r="C43" s="64">
        <v>-8062.4</v>
      </c>
      <c r="D43" s="44">
        <v>-3266.8</v>
      </c>
      <c r="E43" s="45">
        <v>-10403.799999999999</v>
      </c>
    </row>
    <row r="44" spans="1:5" s="1" customFormat="1" ht="16.5" x14ac:dyDescent="0.3">
      <c r="A44" s="239"/>
      <c r="B44" s="72" t="s">
        <v>107</v>
      </c>
      <c r="C44" s="73">
        <v>48772.1</v>
      </c>
      <c r="D44" s="74">
        <v>41802.800000000003</v>
      </c>
      <c r="E44" s="75">
        <v>81126.899999999994</v>
      </c>
    </row>
    <row r="45" spans="1:5" s="1" customFormat="1" ht="16.5" x14ac:dyDescent="0.3">
      <c r="A45" s="202" t="s">
        <v>0</v>
      </c>
      <c r="B45" s="203"/>
      <c r="C45" s="203"/>
      <c r="D45" s="203"/>
      <c r="E45" s="203"/>
    </row>
    <row r="46" spans="1:5" s="1" customFormat="1" ht="16.5" x14ac:dyDescent="0.3">
      <c r="A46" s="76"/>
      <c r="B46" s="77" t="str">
        <f>A2</f>
        <v>Period of Year End</v>
      </c>
      <c r="C46" s="78">
        <f>C2</f>
        <v>42460</v>
      </c>
      <c r="D46" s="78">
        <f t="shared" ref="D46:E46" si="0">D2</f>
        <v>42825</v>
      </c>
      <c r="E46" s="79">
        <f t="shared" si="0"/>
        <v>43190</v>
      </c>
    </row>
    <row r="47" spans="1:5" s="1" customFormat="1" ht="16.5" x14ac:dyDescent="0.3">
      <c r="A47" s="204" t="s">
        <v>153</v>
      </c>
      <c r="B47" s="80" t="s">
        <v>33</v>
      </c>
      <c r="C47" s="81">
        <v>6138.0420000000004</v>
      </c>
      <c r="D47" s="81">
        <v>7436.8990000000003</v>
      </c>
      <c r="E47" s="82">
        <v>8440.4429999999993</v>
      </c>
    </row>
    <row r="48" spans="1:5" s="1" customFormat="1" ht="16.5" x14ac:dyDescent="0.3">
      <c r="A48" s="205"/>
      <c r="B48" s="40" t="s">
        <v>34</v>
      </c>
      <c r="C48" s="41">
        <v>134502.32399999999</v>
      </c>
      <c r="D48" s="41">
        <v>135527.10500000001</v>
      </c>
      <c r="E48" s="42">
        <v>94243.471999999994</v>
      </c>
    </row>
    <row r="49" spans="1:5" s="1" customFormat="1" ht="16.5" x14ac:dyDescent="0.3">
      <c r="A49" s="205"/>
      <c r="B49" s="43" t="s">
        <v>35</v>
      </c>
      <c r="C49" s="44">
        <v>32043.87</v>
      </c>
      <c r="D49" s="44">
        <v>32043.87</v>
      </c>
      <c r="E49" s="45">
        <v>32043.87</v>
      </c>
    </row>
    <row r="50" spans="1:5" s="1" customFormat="1" ht="16.5" x14ac:dyDescent="0.3">
      <c r="A50" s="205"/>
      <c r="B50" s="43" t="s">
        <v>36</v>
      </c>
      <c r="C50" s="44">
        <v>30708.134999999998</v>
      </c>
      <c r="D50" s="44">
        <v>30232.552</v>
      </c>
      <c r="E50" s="45">
        <v>29797.119999999999</v>
      </c>
    </row>
    <row r="51" spans="1:5" s="1" customFormat="1" ht="16.5" x14ac:dyDescent="0.3">
      <c r="A51" s="205"/>
      <c r="B51" s="43" t="s">
        <v>37</v>
      </c>
      <c r="C51" s="44">
        <v>27428.075000000001</v>
      </c>
      <c r="D51" s="44">
        <v>34640.641000000003</v>
      </c>
      <c r="E51" s="45">
        <v>40969.334000000003</v>
      </c>
    </row>
    <row r="52" spans="1:5" s="1" customFormat="1" ht="16.5" x14ac:dyDescent="0.3">
      <c r="A52" s="205"/>
      <c r="B52" s="43" t="s">
        <v>38</v>
      </c>
      <c r="C52" s="44">
        <v>1385.855</v>
      </c>
      <c r="D52" s="44">
        <v>1385.855</v>
      </c>
      <c r="E52" s="45">
        <v>1385.855</v>
      </c>
    </row>
    <row r="53" spans="1:5" s="1" customFormat="1" ht="16.5" x14ac:dyDescent="0.3">
      <c r="A53" s="205"/>
      <c r="B53" s="43" t="s">
        <v>39</v>
      </c>
      <c r="C53" s="44">
        <v>46537.201999999997</v>
      </c>
      <c r="D53" s="44">
        <v>43960.160000000003</v>
      </c>
      <c r="E53" s="45">
        <v>42954.17</v>
      </c>
    </row>
    <row r="54" spans="1:5" s="1" customFormat="1" ht="16.5" x14ac:dyDescent="0.3">
      <c r="A54" s="205"/>
      <c r="B54" s="83" t="s">
        <v>40</v>
      </c>
      <c r="C54" s="74">
        <v>-3600.8130000000001</v>
      </c>
      <c r="D54" s="74">
        <v>-6735.973</v>
      </c>
      <c r="E54" s="75">
        <v>-52906.877</v>
      </c>
    </row>
    <row r="55" spans="1:5" s="1" customFormat="1" ht="16.5" x14ac:dyDescent="0.3">
      <c r="A55" s="205"/>
      <c r="B55" s="40" t="s">
        <v>41</v>
      </c>
      <c r="C55" s="41">
        <v>2006443.9790000001</v>
      </c>
      <c r="D55" s="41">
        <v>2018702.1569999999</v>
      </c>
      <c r="E55" s="42">
        <v>2136038.2779999999</v>
      </c>
    </row>
    <row r="56" spans="1:5" s="1" customFormat="1" ht="16.5" x14ac:dyDescent="0.3">
      <c r="A56" s="205"/>
      <c r="B56" s="43" t="s">
        <v>42</v>
      </c>
      <c r="C56" s="44">
        <v>95269.724000000002</v>
      </c>
      <c r="D56" s="44">
        <v>118345.348</v>
      </c>
      <c r="E56" s="45">
        <v>104024.798</v>
      </c>
    </row>
    <row r="57" spans="1:5" s="1" customFormat="1" ht="16.5" x14ac:dyDescent="0.3">
      <c r="A57" s="205"/>
      <c r="B57" s="43" t="s">
        <v>43</v>
      </c>
      <c r="C57" s="44">
        <v>99.153999999999996</v>
      </c>
      <c r="D57" s="44">
        <v>517.41</v>
      </c>
      <c r="E57" s="45">
        <v>201.43700000000001</v>
      </c>
    </row>
    <row r="58" spans="1:5" s="1" customFormat="1" ht="16.5" x14ac:dyDescent="0.3">
      <c r="A58" s="205"/>
      <c r="B58" s="43" t="s">
        <v>44</v>
      </c>
      <c r="C58" s="44">
        <v>95170.57</v>
      </c>
      <c r="D58" s="44">
        <v>117827.93799999999</v>
      </c>
      <c r="E58" s="45">
        <v>103823.361</v>
      </c>
    </row>
    <row r="59" spans="1:5" s="1" customFormat="1" ht="16.5" x14ac:dyDescent="0.3">
      <c r="A59" s="205"/>
      <c r="B59" s="43" t="s">
        <v>45</v>
      </c>
      <c r="C59" s="44">
        <v>625140.55599999998</v>
      </c>
      <c r="D59" s="44">
        <v>797637.89500000002</v>
      </c>
      <c r="E59" s="45">
        <v>880168.36899999995</v>
      </c>
    </row>
    <row r="60" spans="1:5" s="1" customFormat="1" ht="16.5" x14ac:dyDescent="0.3">
      <c r="A60" s="205"/>
      <c r="B60" s="43" t="s">
        <v>46</v>
      </c>
      <c r="C60" s="44">
        <v>1286033.699</v>
      </c>
      <c r="D60" s="44">
        <v>1102718.9140000001</v>
      </c>
      <c r="E60" s="45">
        <v>1151845.111</v>
      </c>
    </row>
    <row r="61" spans="1:5" s="1" customFormat="1" ht="16.5" x14ac:dyDescent="0.3">
      <c r="A61" s="205"/>
      <c r="B61" s="43" t="s">
        <v>43</v>
      </c>
      <c r="C61" s="44">
        <v>20902.925999999999</v>
      </c>
      <c r="D61" s="44">
        <v>17633.791000000001</v>
      </c>
      <c r="E61" s="45">
        <v>19503.133000000002</v>
      </c>
    </row>
    <row r="62" spans="1:5" s="1" customFormat="1" ht="16.5" x14ac:dyDescent="0.3">
      <c r="A62" s="205"/>
      <c r="B62" s="43" t="s">
        <v>44</v>
      </c>
      <c r="C62" s="44">
        <v>1265130.773</v>
      </c>
      <c r="D62" s="44">
        <v>1085085.1229999999</v>
      </c>
      <c r="E62" s="45">
        <v>1132341.9779999999</v>
      </c>
    </row>
    <row r="63" spans="1:5" s="1" customFormat="1" ht="16.5" x14ac:dyDescent="0.3">
      <c r="A63" s="205"/>
      <c r="B63" s="43" t="s">
        <v>47</v>
      </c>
      <c r="C63" s="44">
        <v>1979202.477</v>
      </c>
      <c r="D63" s="44">
        <v>1993347.791</v>
      </c>
      <c r="E63" s="45">
        <v>2108417.0079999999</v>
      </c>
    </row>
    <row r="64" spans="1:5" s="1" customFormat="1" ht="16.5" x14ac:dyDescent="0.3">
      <c r="A64" s="205"/>
      <c r="B64" s="83" t="s">
        <v>48</v>
      </c>
      <c r="C64" s="74">
        <v>27241.502</v>
      </c>
      <c r="D64" s="74">
        <v>25354.366000000002</v>
      </c>
      <c r="E64" s="75">
        <v>27621.27</v>
      </c>
    </row>
    <row r="65" spans="1:5" s="1" customFormat="1" ht="16.5" x14ac:dyDescent="0.3">
      <c r="A65" s="205"/>
      <c r="B65" s="40" t="s">
        <v>49</v>
      </c>
      <c r="C65" s="41">
        <v>187070.405</v>
      </c>
      <c r="D65" s="41">
        <v>146703.247</v>
      </c>
      <c r="E65" s="42">
        <v>214005.155</v>
      </c>
    </row>
    <row r="66" spans="1:5" s="1" customFormat="1" ht="16.5" x14ac:dyDescent="0.3">
      <c r="A66" s="205"/>
      <c r="B66" s="43" t="s">
        <v>50</v>
      </c>
      <c r="C66" s="44">
        <v>93678.423999999999</v>
      </c>
      <c r="D66" s="44">
        <v>61360.769</v>
      </c>
      <c r="E66" s="45">
        <v>146060.16699999999</v>
      </c>
    </row>
    <row r="67" spans="1:5" s="1" customFormat="1" ht="16.5" x14ac:dyDescent="0.3">
      <c r="A67" s="205"/>
      <c r="B67" s="43" t="s">
        <v>51</v>
      </c>
      <c r="C67" s="44">
        <v>39000</v>
      </c>
      <c r="D67" s="44" t="s">
        <v>151</v>
      </c>
      <c r="E67" s="45">
        <v>79543.600000000006</v>
      </c>
    </row>
    <row r="68" spans="1:5" s="1" customFormat="1" ht="16.5" x14ac:dyDescent="0.3">
      <c r="A68" s="205"/>
      <c r="B68" s="43" t="s">
        <v>52</v>
      </c>
      <c r="C68" s="44" t="s">
        <v>151</v>
      </c>
      <c r="D68" s="44" t="s">
        <v>151</v>
      </c>
      <c r="E68" s="45" t="s">
        <v>151</v>
      </c>
    </row>
    <row r="69" spans="1:5" s="1" customFormat="1" ht="16.5" x14ac:dyDescent="0.3">
      <c r="A69" s="205"/>
      <c r="B69" s="43" t="s">
        <v>53</v>
      </c>
      <c r="C69" s="44">
        <v>54678.423999999999</v>
      </c>
      <c r="D69" s="44">
        <v>61360.769</v>
      </c>
      <c r="E69" s="45">
        <v>66516.566999999995</v>
      </c>
    </row>
    <row r="70" spans="1:5" s="1" customFormat="1" ht="16.5" x14ac:dyDescent="0.3">
      <c r="A70" s="205"/>
      <c r="B70" s="43" t="s">
        <v>54</v>
      </c>
      <c r="C70" s="44">
        <v>93391.981</v>
      </c>
      <c r="D70" s="44">
        <v>85342.478000000003</v>
      </c>
      <c r="E70" s="45">
        <v>67944.987999999998</v>
      </c>
    </row>
    <row r="71" spans="1:5" s="1" customFormat="1" ht="16.5" x14ac:dyDescent="0.3">
      <c r="A71" s="205"/>
      <c r="B71" s="83" t="s">
        <v>55</v>
      </c>
      <c r="C71" s="74" t="s">
        <v>151</v>
      </c>
      <c r="D71" s="74" t="s">
        <v>151</v>
      </c>
      <c r="E71" s="75" t="s">
        <v>151</v>
      </c>
    </row>
    <row r="72" spans="1:5" s="1" customFormat="1" ht="16.5" x14ac:dyDescent="0.3">
      <c r="A72" s="205"/>
      <c r="B72" s="40" t="s">
        <v>56</v>
      </c>
      <c r="C72" s="41">
        <v>64098.896000000001</v>
      </c>
      <c r="D72" s="41">
        <v>62009.423999999999</v>
      </c>
      <c r="E72" s="42">
        <v>74415.755000000005</v>
      </c>
    </row>
    <row r="73" spans="1:5" s="1" customFormat="1" ht="16.5" x14ac:dyDescent="0.3">
      <c r="A73" s="205"/>
      <c r="B73" s="43" t="s">
        <v>57</v>
      </c>
      <c r="C73" s="44">
        <v>6720.09</v>
      </c>
      <c r="D73" s="44">
        <v>10421.924000000001</v>
      </c>
      <c r="E73" s="45">
        <v>7409.5290000000005</v>
      </c>
    </row>
    <row r="74" spans="1:5" s="1" customFormat="1" ht="16.5" x14ac:dyDescent="0.3">
      <c r="A74" s="205"/>
      <c r="B74" s="43" t="s">
        <v>58</v>
      </c>
      <c r="C74" s="44">
        <v>2348.6779999999999</v>
      </c>
      <c r="D74" s="44">
        <v>633.64599999999996</v>
      </c>
      <c r="E74" s="45">
        <v>1427.692</v>
      </c>
    </row>
    <row r="75" spans="1:5" s="1" customFormat="1" ht="16.5" x14ac:dyDescent="0.3">
      <c r="A75" s="205"/>
      <c r="B75" s="43" t="s">
        <v>59</v>
      </c>
      <c r="C75" s="44">
        <v>4998.8810000000003</v>
      </c>
      <c r="D75" s="44">
        <v>3974.53</v>
      </c>
      <c r="E75" s="45">
        <v>4653.2759999999998</v>
      </c>
    </row>
    <row r="76" spans="1:5" s="1" customFormat="1" ht="16.5" x14ac:dyDescent="0.3">
      <c r="A76" s="205"/>
      <c r="B76" s="43" t="s">
        <v>60</v>
      </c>
      <c r="C76" s="44" t="s">
        <v>151</v>
      </c>
      <c r="D76" s="44" t="s">
        <v>151</v>
      </c>
      <c r="E76" s="45" t="s">
        <v>151</v>
      </c>
    </row>
    <row r="77" spans="1:5" s="1" customFormat="1" ht="16.5" x14ac:dyDescent="0.3">
      <c r="A77" s="205"/>
      <c r="B77" s="43" t="s">
        <v>61</v>
      </c>
      <c r="C77" s="44" t="s">
        <v>151</v>
      </c>
      <c r="D77" s="44" t="s">
        <v>151</v>
      </c>
      <c r="E77" s="45" t="s">
        <v>151</v>
      </c>
    </row>
    <row r="78" spans="1:5" s="1" customFormat="1" ht="16.5" x14ac:dyDescent="0.3">
      <c r="A78" s="205"/>
      <c r="B78" s="83" t="s">
        <v>62</v>
      </c>
      <c r="C78" s="74">
        <v>50031.247000000003</v>
      </c>
      <c r="D78" s="74">
        <v>46979.324000000001</v>
      </c>
      <c r="E78" s="75">
        <v>60925.258000000002</v>
      </c>
    </row>
    <row r="79" spans="1:5" s="1" customFormat="1" x14ac:dyDescent="0.25">
      <c r="A79" s="206"/>
      <c r="B79" s="84" t="s">
        <v>63</v>
      </c>
      <c r="C79" s="60">
        <v>2398253.6460000002</v>
      </c>
      <c r="D79" s="60">
        <v>2370378.8319999999</v>
      </c>
      <c r="E79" s="61">
        <v>2527143.1030000001</v>
      </c>
    </row>
    <row r="80" spans="1:5" s="1" customFormat="1" ht="16.5" x14ac:dyDescent="0.3">
      <c r="A80" s="204" t="s">
        <v>2</v>
      </c>
      <c r="B80" s="40" t="s">
        <v>64</v>
      </c>
      <c r="C80" s="41">
        <v>6137.0510000000004</v>
      </c>
      <c r="D80" s="41">
        <v>5820.1779999999999</v>
      </c>
      <c r="E80" s="42">
        <v>6188.8919999999998</v>
      </c>
    </row>
    <row r="81" spans="1:5" s="1" customFormat="1" ht="16.5" x14ac:dyDescent="0.3">
      <c r="A81" s="205"/>
      <c r="B81" s="43" t="s">
        <v>65</v>
      </c>
      <c r="C81" s="44">
        <v>88574.334000000003</v>
      </c>
      <c r="D81" s="44">
        <v>80037.801999999996</v>
      </c>
      <c r="E81" s="45">
        <v>86720.767999999996</v>
      </c>
    </row>
    <row r="82" spans="1:5" s="1" customFormat="1" ht="16.5" x14ac:dyDescent="0.3">
      <c r="A82" s="205"/>
      <c r="B82" s="43" t="s">
        <v>66</v>
      </c>
      <c r="C82" s="44">
        <v>34459.887000000002</v>
      </c>
      <c r="D82" s="44">
        <v>38903.856</v>
      </c>
      <c r="E82" s="45">
        <v>45237.769</v>
      </c>
    </row>
    <row r="83" spans="1:5" s="1" customFormat="1" ht="16.5" x14ac:dyDescent="0.3">
      <c r="A83" s="205"/>
      <c r="B83" s="43" t="s">
        <v>67</v>
      </c>
      <c r="C83" s="44">
        <v>71378.755999999994</v>
      </c>
      <c r="D83" s="44">
        <v>74692.785000000003</v>
      </c>
      <c r="E83" s="45">
        <v>65915.341</v>
      </c>
    </row>
    <row r="84" spans="1:5" s="1" customFormat="1" ht="16.5" x14ac:dyDescent="0.3">
      <c r="A84" s="205"/>
      <c r="B84" s="83" t="s">
        <v>68</v>
      </c>
      <c r="C84" s="74">
        <v>23011.507000000001</v>
      </c>
      <c r="D84" s="74">
        <v>21098.547999999999</v>
      </c>
      <c r="E84" s="75">
        <v>10156.116</v>
      </c>
    </row>
    <row r="85" spans="1:5" s="1" customFormat="1" ht="16.5" x14ac:dyDescent="0.3">
      <c r="A85" s="205"/>
      <c r="B85" s="40" t="s">
        <v>69</v>
      </c>
      <c r="C85" s="41">
        <v>571549.01699999999</v>
      </c>
      <c r="D85" s="41">
        <v>551360.68599999999</v>
      </c>
      <c r="E85" s="42">
        <v>677140.245</v>
      </c>
    </row>
    <row r="86" spans="1:5" s="1" customFormat="1" ht="16.5" x14ac:dyDescent="0.3">
      <c r="A86" s="205"/>
      <c r="B86" s="43" t="s">
        <v>70</v>
      </c>
      <c r="C86" s="44">
        <v>571549.01699999999</v>
      </c>
      <c r="D86" s="44">
        <v>548574.696</v>
      </c>
      <c r="E86" s="45">
        <v>674161.42599999998</v>
      </c>
    </row>
    <row r="87" spans="1:5" s="1" customFormat="1" ht="16.5" x14ac:dyDescent="0.3">
      <c r="A87" s="205"/>
      <c r="B87" s="43" t="s">
        <v>71</v>
      </c>
      <c r="C87" s="44">
        <v>465388.554</v>
      </c>
      <c r="D87" s="44">
        <v>474122.68699999998</v>
      </c>
      <c r="E87" s="45">
        <v>625284.005</v>
      </c>
    </row>
    <row r="88" spans="1:5" s="1" customFormat="1" ht="16.5" x14ac:dyDescent="0.3">
      <c r="A88" s="205"/>
      <c r="B88" s="43" t="s">
        <v>72</v>
      </c>
      <c r="C88" s="44" t="s">
        <v>151</v>
      </c>
      <c r="D88" s="44" t="s">
        <v>151</v>
      </c>
      <c r="E88" s="45" t="s">
        <v>151</v>
      </c>
    </row>
    <row r="89" spans="1:5" s="1" customFormat="1" ht="16.5" x14ac:dyDescent="0.3">
      <c r="A89" s="205"/>
      <c r="B89" s="43" t="s">
        <v>73</v>
      </c>
      <c r="C89" s="44">
        <v>4848.4750000000004</v>
      </c>
      <c r="D89" s="44">
        <v>9386.4830000000002</v>
      </c>
      <c r="E89" s="45">
        <v>8160.3639999999996</v>
      </c>
    </row>
    <row r="90" spans="1:5" s="1" customFormat="1" ht="16.5" x14ac:dyDescent="0.3">
      <c r="A90" s="205"/>
      <c r="B90" s="43" t="s">
        <v>74</v>
      </c>
      <c r="C90" s="44">
        <v>70088.271999999997</v>
      </c>
      <c r="D90" s="44">
        <v>36541.277000000002</v>
      </c>
      <c r="E90" s="45">
        <v>37994.616000000002</v>
      </c>
    </row>
    <row r="91" spans="1:5" s="1" customFormat="1" ht="16.5" x14ac:dyDescent="0.3">
      <c r="A91" s="205"/>
      <c r="B91" s="43" t="s">
        <v>75</v>
      </c>
      <c r="C91" s="44">
        <v>1559.501</v>
      </c>
      <c r="D91" s="44">
        <v>1553.146</v>
      </c>
      <c r="E91" s="45">
        <v>1557.913</v>
      </c>
    </row>
    <row r="92" spans="1:5" s="1" customFormat="1" ht="16.5" x14ac:dyDescent="0.3">
      <c r="A92" s="205"/>
      <c r="B92" s="43" t="s">
        <v>76</v>
      </c>
      <c r="C92" s="44">
        <v>29664.215</v>
      </c>
      <c r="D92" s="44">
        <v>26971.102999999999</v>
      </c>
      <c r="E92" s="45">
        <v>1164.528</v>
      </c>
    </row>
    <row r="93" spans="1:5" s="1" customFormat="1" ht="16.5" x14ac:dyDescent="0.3">
      <c r="A93" s="205"/>
      <c r="B93" s="43" t="s">
        <v>77</v>
      </c>
      <c r="C93" s="44" t="s">
        <v>151</v>
      </c>
      <c r="D93" s="44">
        <v>2785.99</v>
      </c>
      <c r="E93" s="45">
        <v>2978.819</v>
      </c>
    </row>
    <row r="94" spans="1:5" s="1" customFormat="1" ht="16.5" x14ac:dyDescent="0.3">
      <c r="A94" s="205"/>
      <c r="B94" s="43" t="s">
        <v>78</v>
      </c>
      <c r="C94" s="44" t="s">
        <v>151</v>
      </c>
      <c r="D94" s="44">
        <v>2785.99</v>
      </c>
      <c r="E94" s="45">
        <v>2978.819</v>
      </c>
    </row>
    <row r="95" spans="1:5" s="1" customFormat="1" ht="16.5" x14ac:dyDescent="0.3">
      <c r="A95" s="205"/>
      <c r="B95" s="43" t="s">
        <v>79</v>
      </c>
      <c r="C95" s="44" t="s">
        <v>151</v>
      </c>
      <c r="D95" s="44" t="s">
        <v>151</v>
      </c>
      <c r="E95" s="45" t="s">
        <v>151</v>
      </c>
    </row>
    <row r="96" spans="1:5" s="1" customFormat="1" ht="16.5" x14ac:dyDescent="0.3">
      <c r="A96" s="205"/>
      <c r="B96" s="83" t="s">
        <v>80</v>
      </c>
      <c r="C96" s="74" t="s">
        <v>151</v>
      </c>
      <c r="D96" s="74" t="s">
        <v>151</v>
      </c>
      <c r="E96" s="75" t="s">
        <v>151</v>
      </c>
    </row>
    <row r="97" spans="1:5" s="1" customFormat="1" ht="16.5" x14ac:dyDescent="0.3">
      <c r="A97" s="205"/>
      <c r="B97" s="40" t="s">
        <v>81</v>
      </c>
      <c r="C97" s="41">
        <v>1523720.514</v>
      </c>
      <c r="D97" s="41">
        <v>1507526.993</v>
      </c>
      <c r="E97" s="42">
        <v>1520607.442</v>
      </c>
    </row>
    <row r="98" spans="1:5" s="1" customFormat="1" ht="16.5" x14ac:dyDescent="0.3">
      <c r="A98" s="205"/>
      <c r="B98" s="43" t="s">
        <v>82</v>
      </c>
      <c r="C98" s="44">
        <v>19798.789000000001</v>
      </c>
      <c r="D98" s="44">
        <v>25667.339</v>
      </c>
      <c r="E98" s="45">
        <v>13952.85</v>
      </c>
    </row>
    <row r="99" spans="1:5" s="1" customFormat="1" ht="16.5" x14ac:dyDescent="0.3">
      <c r="A99" s="205"/>
      <c r="B99" s="43" t="s">
        <v>83</v>
      </c>
      <c r="C99" s="44">
        <v>703340.33400000003</v>
      </c>
      <c r="D99" s="44">
        <v>721271.33200000005</v>
      </c>
      <c r="E99" s="45">
        <v>719877.64</v>
      </c>
    </row>
    <row r="100" spans="1:5" s="1" customFormat="1" ht="16.5" x14ac:dyDescent="0.3">
      <c r="A100" s="205"/>
      <c r="B100" s="43" t="s">
        <v>84</v>
      </c>
      <c r="C100" s="44">
        <v>800581.39099999995</v>
      </c>
      <c r="D100" s="44">
        <v>760588.32200000004</v>
      </c>
      <c r="E100" s="45">
        <v>786776.95200000005</v>
      </c>
    </row>
    <row r="101" spans="1:5" s="1" customFormat="1" ht="16.5" x14ac:dyDescent="0.3">
      <c r="A101" s="205"/>
      <c r="B101" s="43" t="s">
        <v>85</v>
      </c>
      <c r="C101" s="44">
        <v>1328212.96</v>
      </c>
      <c r="D101" s="44">
        <v>1253693.2590000001</v>
      </c>
      <c r="E101" s="45">
        <v>1186391.814</v>
      </c>
    </row>
    <row r="102" spans="1:5" s="1" customFormat="1" ht="16.5" x14ac:dyDescent="0.3">
      <c r="A102" s="205"/>
      <c r="B102" s="43" t="s">
        <v>86</v>
      </c>
      <c r="C102" s="44">
        <v>48492.239000000001</v>
      </c>
      <c r="D102" s="44">
        <v>72579.239000000001</v>
      </c>
      <c r="E102" s="45">
        <v>61847.434999999998</v>
      </c>
    </row>
    <row r="103" spans="1:5" s="1" customFormat="1" ht="16.5" x14ac:dyDescent="0.3">
      <c r="A103" s="205"/>
      <c r="B103" s="43" t="s">
        <v>87</v>
      </c>
      <c r="C103" s="44">
        <v>147015.315</v>
      </c>
      <c r="D103" s="44">
        <v>181254.495</v>
      </c>
      <c r="E103" s="45">
        <v>272368.19300000003</v>
      </c>
    </row>
    <row r="104" spans="1:5" s="1" customFormat="1" ht="16.5" x14ac:dyDescent="0.3">
      <c r="A104" s="205"/>
      <c r="B104" s="43" t="s">
        <v>88</v>
      </c>
      <c r="C104" s="44">
        <v>1427639.0759999999</v>
      </c>
      <c r="D104" s="44">
        <v>1392519.3910000001</v>
      </c>
      <c r="E104" s="45">
        <v>1420387.916</v>
      </c>
    </row>
    <row r="105" spans="1:5" s="1" customFormat="1" ht="16.5" x14ac:dyDescent="0.3">
      <c r="A105" s="205"/>
      <c r="B105" s="43" t="s">
        <v>89</v>
      </c>
      <c r="C105" s="44">
        <v>626950</v>
      </c>
      <c r="D105" s="44">
        <v>653784.1</v>
      </c>
      <c r="E105" s="45">
        <v>622652</v>
      </c>
    </row>
    <row r="106" spans="1:5" s="1" customFormat="1" ht="16.5" x14ac:dyDescent="0.3">
      <c r="A106" s="205"/>
      <c r="B106" s="43" t="s">
        <v>90</v>
      </c>
      <c r="C106" s="44">
        <v>101948.01700000001</v>
      </c>
      <c r="D106" s="44">
        <v>62320.773000000001</v>
      </c>
      <c r="E106" s="45">
        <v>98013.951000000001</v>
      </c>
    </row>
    <row r="107" spans="1:5" s="1" customFormat="1" ht="16.5" x14ac:dyDescent="0.3">
      <c r="A107" s="205"/>
      <c r="B107" s="43" t="s">
        <v>91</v>
      </c>
      <c r="C107" s="44" t="s">
        <v>151</v>
      </c>
      <c r="D107" s="44" t="s">
        <v>151</v>
      </c>
      <c r="E107" s="45" t="s">
        <v>151</v>
      </c>
    </row>
    <row r="108" spans="1:5" s="1" customFormat="1" ht="16.5" x14ac:dyDescent="0.3">
      <c r="A108" s="205"/>
      <c r="B108" s="43" t="s">
        <v>92</v>
      </c>
      <c r="C108" s="44">
        <v>698741.05900000001</v>
      </c>
      <c r="D108" s="44">
        <v>676414.51800000004</v>
      </c>
      <c r="E108" s="45">
        <v>699721.96499999997</v>
      </c>
    </row>
    <row r="109" spans="1:5" s="1" customFormat="1" ht="16.5" x14ac:dyDescent="0.3">
      <c r="A109" s="205"/>
      <c r="B109" s="83" t="s">
        <v>93</v>
      </c>
      <c r="C109" s="74">
        <v>96081.437999999995</v>
      </c>
      <c r="D109" s="74">
        <v>115007.602</v>
      </c>
      <c r="E109" s="75">
        <v>100219.526</v>
      </c>
    </row>
    <row r="110" spans="1:5" s="1" customFormat="1" ht="16.5" x14ac:dyDescent="0.3">
      <c r="A110" s="205"/>
      <c r="B110" s="40" t="s">
        <v>94</v>
      </c>
      <c r="C110" s="41">
        <v>32558.330999999998</v>
      </c>
      <c r="D110" s="41">
        <v>31918.503000000001</v>
      </c>
      <c r="E110" s="42">
        <v>31320.863000000001</v>
      </c>
    </row>
    <row r="111" spans="1:5" s="1" customFormat="1" ht="16.5" x14ac:dyDescent="0.3">
      <c r="A111" s="205"/>
      <c r="B111" s="43" t="s">
        <v>95</v>
      </c>
      <c r="C111" s="44">
        <v>27950.064999999999</v>
      </c>
      <c r="D111" s="44">
        <v>27766.405999999999</v>
      </c>
      <c r="E111" s="45">
        <v>27314.685000000001</v>
      </c>
    </row>
    <row r="112" spans="1:5" s="1" customFormat="1" ht="16.5" x14ac:dyDescent="0.3">
      <c r="A112" s="205"/>
      <c r="B112" s="43" t="s">
        <v>96</v>
      </c>
      <c r="C112" s="44">
        <v>410.07</v>
      </c>
      <c r="D112" s="44">
        <v>146.10499999999999</v>
      </c>
      <c r="E112" s="45">
        <v>104.18899999999999</v>
      </c>
    </row>
    <row r="113" spans="1:5" s="1" customFormat="1" ht="16.5" x14ac:dyDescent="0.3">
      <c r="A113" s="205"/>
      <c r="B113" s="83" t="s">
        <v>97</v>
      </c>
      <c r="C113" s="74">
        <v>4198.1959999999999</v>
      </c>
      <c r="D113" s="74">
        <v>4005.9920000000002</v>
      </c>
      <c r="E113" s="75">
        <v>3901.989</v>
      </c>
    </row>
    <row r="114" spans="1:5" s="1" customFormat="1" ht="16.5" x14ac:dyDescent="0.3">
      <c r="A114" s="205"/>
      <c r="B114" s="40" t="s">
        <v>98</v>
      </c>
      <c r="C114" s="41">
        <v>46864.249000000003</v>
      </c>
      <c r="D114" s="41">
        <v>59019.481</v>
      </c>
      <c r="E114" s="42">
        <v>83855.667000000001</v>
      </c>
    </row>
    <row r="115" spans="1:5" s="1" customFormat="1" ht="16.5" x14ac:dyDescent="0.3">
      <c r="A115" s="205"/>
      <c r="B115" s="43" t="s">
        <v>99</v>
      </c>
      <c r="C115" s="44" t="s">
        <v>151</v>
      </c>
      <c r="D115" s="44" t="s">
        <v>151</v>
      </c>
      <c r="E115" s="45" t="s">
        <v>151</v>
      </c>
    </row>
    <row r="116" spans="1:5" s="1" customFormat="1" ht="16.5" x14ac:dyDescent="0.3">
      <c r="A116" s="205"/>
      <c r="B116" s="43" t="s">
        <v>100</v>
      </c>
      <c r="C116" s="44">
        <v>11482.127</v>
      </c>
      <c r="D116" s="44">
        <v>10745.093999999999</v>
      </c>
      <c r="E116" s="45">
        <v>11373.583000000001</v>
      </c>
    </row>
    <row r="117" spans="1:5" s="1" customFormat="1" ht="16.5" x14ac:dyDescent="0.3">
      <c r="A117" s="205"/>
      <c r="B117" s="43" t="s">
        <v>101</v>
      </c>
      <c r="C117" s="44">
        <v>4664.8289999999997</v>
      </c>
      <c r="D117" s="44">
        <v>6206.2579999999998</v>
      </c>
      <c r="E117" s="45">
        <v>18967.896000000001</v>
      </c>
    </row>
    <row r="118" spans="1:5" s="1" customFormat="1" ht="16.5" x14ac:dyDescent="0.3">
      <c r="A118" s="205"/>
      <c r="B118" s="43" t="s">
        <v>102</v>
      </c>
      <c r="C118" s="44">
        <v>187.96</v>
      </c>
      <c r="D118" s="44">
        <v>208.39500000000001</v>
      </c>
      <c r="E118" s="45">
        <v>234.392</v>
      </c>
    </row>
    <row r="119" spans="1:5" s="1" customFormat="1" ht="16.5" x14ac:dyDescent="0.3">
      <c r="A119" s="205"/>
      <c r="B119" s="83" t="s">
        <v>103</v>
      </c>
      <c r="C119" s="74">
        <v>30529.332999999999</v>
      </c>
      <c r="D119" s="74">
        <v>41859.733999999997</v>
      </c>
      <c r="E119" s="75">
        <v>53279.796000000002</v>
      </c>
    </row>
    <row r="120" spans="1:5" s="1" customFormat="1" x14ac:dyDescent="0.25">
      <c r="A120" s="205"/>
      <c r="B120" s="119" t="s">
        <v>104</v>
      </c>
      <c r="C120" s="57">
        <v>2398253.6460000002</v>
      </c>
      <c r="D120" s="57">
        <v>2370378.8319999999</v>
      </c>
      <c r="E120" s="58">
        <v>2527143.1030000001</v>
      </c>
    </row>
    <row r="121" spans="1:5" s="1" customFormat="1" x14ac:dyDescent="0.25">
      <c r="A121" s="133" t="s">
        <v>291</v>
      </c>
      <c r="B121" s="134"/>
      <c r="C121" s="135"/>
      <c r="D121" s="120"/>
      <c r="E121" s="121">
        <v>1.1499999999999999</v>
      </c>
    </row>
    <row r="122" spans="1:5" s="1" customFormat="1" x14ac:dyDescent="0.25">
      <c r="A122" s="207" t="s">
        <v>277</v>
      </c>
      <c r="B122" s="208"/>
      <c r="C122" s="135">
        <v>1.24</v>
      </c>
      <c r="D122" s="120">
        <v>1.33</v>
      </c>
      <c r="E122" s="121">
        <v>1.28</v>
      </c>
    </row>
    <row r="123" spans="1:5" s="1" customFormat="1" ht="16.5" x14ac:dyDescent="0.3">
      <c r="A123" s="204" t="s">
        <v>154</v>
      </c>
      <c r="B123" s="69" t="s">
        <v>105</v>
      </c>
      <c r="C123" s="85">
        <v>8.41</v>
      </c>
      <c r="D123" s="86">
        <v>8.49</v>
      </c>
      <c r="E123" s="87">
        <v>6.69</v>
      </c>
    </row>
    <row r="124" spans="1:5" s="1" customFormat="1" ht="16.5" x14ac:dyDescent="0.3">
      <c r="A124" s="205"/>
      <c r="B124" s="71" t="s">
        <v>106</v>
      </c>
      <c r="C124" s="88">
        <v>2.61</v>
      </c>
      <c r="D124" s="89">
        <v>2.96</v>
      </c>
      <c r="E124" s="90">
        <v>2</v>
      </c>
    </row>
    <row r="125" spans="1:5" s="1" customFormat="1" ht="16.5" x14ac:dyDescent="0.3">
      <c r="A125" s="206"/>
      <c r="B125" s="72" t="s">
        <v>107</v>
      </c>
      <c r="C125" s="91">
        <v>11.02</v>
      </c>
      <c r="D125" s="92">
        <v>11.45</v>
      </c>
      <c r="E125" s="93">
        <v>8.69</v>
      </c>
    </row>
    <row r="126" spans="1:5" s="1" customFormat="1" ht="16.5" x14ac:dyDescent="0.3">
      <c r="A126" s="216" t="s">
        <v>159</v>
      </c>
      <c r="B126" s="40" t="s">
        <v>155</v>
      </c>
      <c r="C126" s="70">
        <v>1362839.0419999999</v>
      </c>
      <c r="D126" s="41">
        <v>1489748.365</v>
      </c>
      <c r="E126" s="94">
        <v>1925905.1070000001</v>
      </c>
    </row>
    <row r="127" spans="1:5" s="1" customFormat="1" ht="16.5" x14ac:dyDescent="0.3">
      <c r="A127" s="217"/>
      <c r="B127" s="43" t="s">
        <v>156</v>
      </c>
      <c r="C127" s="64">
        <v>70703.573999999993</v>
      </c>
      <c r="D127" s="44">
        <v>73994.964000000007</v>
      </c>
      <c r="E127" s="95">
        <v>86199.722999999998</v>
      </c>
    </row>
    <row r="128" spans="1:5" s="1" customFormat="1" ht="16.5" x14ac:dyDescent="0.3">
      <c r="A128" s="217"/>
      <c r="B128" s="43" t="s">
        <v>157</v>
      </c>
      <c r="C128" s="64">
        <v>45543.487999999998</v>
      </c>
      <c r="D128" s="44">
        <v>42188.201999999997</v>
      </c>
      <c r="E128" s="95">
        <v>30339.888999999999</v>
      </c>
    </row>
    <row r="129" spans="1:5" s="1" customFormat="1" ht="16.5" x14ac:dyDescent="0.3">
      <c r="A129" s="217"/>
      <c r="B129" s="43" t="s">
        <v>158</v>
      </c>
      <c r="C129" s="64">
        <v>63968.025999999998</v>
      </c>
      <c r="D129" s="44">
        <v>53407.883999999998</v>
      </c>
      <c r="E129" s="95">
        <v>56749.571000000004</v>
      </c>
    </row>
    <row r="130" spans="1:5" s="1" customFormat="1" ht="16.5" x14ac:dyDescent="0.3">
      <c r="A130" s="217"/>
      <c r="B130" s="43" t="s">
        <v>115</v>
      </c>
      <c r="C130" s="64">
        <v>17641.061000000002</v>
      </c>
      <c r="D130" s="44">
        <v>21518.315999999999</v>
      </c>
      <c r="E130" s="95">
        <v>22278.094000000001</v>
      </c>
    </row>
    <row r="131" spans="1:5" s="1" customFormat="1" x14ac:dyDescent="0.25">
      <c r="A131" s="218"/>
      <c r="B131" s="46" t="s">
        <v>107</v>
      </c>
      <c r="C131" s="96">
        <v>1560695.1910000001</v>
      </c>
      <c r="D131" s="47">
        <v>1680857.7309999999</v>
      </c>
      <c r="E131" s="97">
        <v>2121472.3840000001</v>
      </c>
    </row>
    <row r="132" spans="1:5" s="1" customFormat="1" ht="16.5" x14ac:dyDescent="0.3">
      <c r="A132" s="219" t="s">
        <v>108</v>
      </c>
      <c r="B132" s="40" t="s">
        <v>109</v>
      </c>
      <c r="C132" s="41">
        <v>7657.4</v>
      </c>
      <c r="D132" s="41">
        <v>4051.5</v>
      </c>
      <c r="E132" s="42">
        <v>12340.8</v>
      </c>
    </row>
    <row r="133" spans="1:5" s="1" customFormat="1" ht="16.5" x14ac:dyDescent="0.3">
      <c r="A133" s="220"/>
      <c r="B133" s="43" t="s">
        <v>110</v>
      </c>
      <c r="C133" s="44">
        <v>157648.29999999999</v>
      </c>
      <c r="D133" s="44">
        <v>140440.6</v>
      </c>
      <c r="E133" s="45">
        <v>187649.7</v>
      </c>
    </row>
    <row r="134" spans="1:5" s="1" customFormat="1" ht="16.5" x14ac:dyDescent="0.3">
      <c r="A134" s="220"/>
      <c r="B134" s="43" t="s">
        <v>111</v>
      </c>
      <c r="C134" s="44"/>
      <c r="D134" s="44"/>
      <c r="E134" s="45"/>
    </row>
    <row r="135" spans="1:5" s="1" customFormat="1" x14ac:dyDescent="0.25">
      <c r="A135" s="221"/>
      <c r="B135" s="46" t="s">
        <v>107</v>
      </c>
      <c r="C135" s="47">
        <v>165305.70000000001</v>
      </c>
      <c r="D135" s="47">
        <v>144492.1</v>
      </c>
      <c r="E135" s="48">
        <v>199990.5</v>
      </c>
    </row>
    <row r="136" spans="1:5" s="1" customFormat="1" ht="16.5" x14ac:dyDescent="0.3">
      <c r="A136" s="202" t="s">
        <v>160</v>
      </c>
      <c r="B136" s="203"/>
      <c r="C136" s="203"/>
      <c r="D136" s="203"/>
      <c r="E136" s="203"/>
    </row>
    <row r="137" spans="1:5" s="1" customFormat="1" ht="16.5" x14ac:dyDescent="0.3">
      <c r="A137" s="76"/>
      <c r="B137" s="77" t="str">
        <f>A2</f>
        <v>Period of Year End</v>
      </c>
      <c r="C137" s="78">
        <f>C2</f>
        <v>42460</v>
      </c>
      <c r="D137" s="78">
        <f>D2</f>
        <v>42825</v>
      </c>
      <c r="E137" s="79">
        <f>E2</f>
        <v>43190</v>
      </c>
    </row>
    <row r="138" spans="1:5" s="1" customFormat="1" ht="16.5" x14ac:dyDescent="0.3">
      <c r="A138" s="204" t="s">
        <v>116</v>
      </c>
      <c r="B138" s="40" t="s">
        <v>117</v>
      </c>
      <c r="C138" s="41">
        <v>127854.3</v>
      </c>
      <c r="D138" s="41">
        <v>132866.29999999999</v>
      </c>
      <c r="E138" s="42">
        <v>110752.6</v>
      </c>
    </row>
    <row r="139" spans="1:5" s="1" customFormat="1" ht="16.5" x14ac:dyDescent="0.3">
      <c r="A139" s="205"/>
      <c r="B139" s="43" t="s">
        <v>118</v>
      </c>
      <c r="C139" s="44">
        <v>39216.300000000003</v>
      </c>
      <c r="D139" s="44">
        <v>47476</v>
      </c>
      <c r="E139" s="45">
        <v>46292.5</v>
      </c>
    </row>
    <row r="140" spans="1:5" s="1" customFormat="1" ht="16.5" x14ac:dyDescent="0.3">
      <c r="A140" s="205"/>
      <c r="B140" s="43" t="s">
        <v>119</v>
      </c>
      <c r="C140" s="44">
        <v>229178.2</v>
      </c>
      <c r="D140" s="44">
        <v>142529.29999999999</v>
      </c>
      <c r="E140" s="45">
        <v>167321.79999999999</v>
      </c>
    </row>
    <row r="141" spans="1:5" s="1" customFormat="1" ht="16.5" x14ac:dyDescent="0.3">
      <c r="A141" s="205"/>
      <c r="B141" s="43" t="s">
        <v>120</v>
      </c>
      <c r="C141" s="44">
        <v>238818.9</v>
      </c>
      <c r="D141" s="44">
        <v>188019.1</v>
      </c>
      <c r="E141" s="45">
        <v>217132.5</v>
      </c>
    </row>
    <row r="142" spans="1:5" s="1" customFormat="1" ht="16.5" x14ac:dyDescent="0.3">
      <c r="A142" s="205"/>
      <c r="B142" s="43" t="s">
        <v>121</v>
      </c>
      <c r="C142" s="44">
        <v>461952.5</v>
      </c>
      <c r="D142" s="44">
        <v>356495.3</v>
      </c>
      <c r="E142" s="45">
        <v>393454.8</v>
      </c>
    </row>
    <row r="143" spans="1:5" s="1" customFormat="1" ht="16.5" x14ac:dyDescent="0.3">
      <c r="A143" s="205"/>
      <c r="B143" s="43" t="s">
        <v>122</v>
      </c>
      <c r="C143" s="44">
        <v>488718.4</v>
      </c>
      <c r="D143" s="44">
        <v>648511.69999999995</v>
      </c>
      <c r="E143" s="45">
        <v>658134.9</v>
      </c>
    </row>
    <row r="144" spans="1:5" s="1" customFormat="1" ht="16.5" x14ac:dyDescent="0.3">
      <c r="A144" s="205"/>
      <c r="B144" s="43" t="s">
        <v>123</v>
      </c>
      <c r="C144" s="44">
        <v>215898.6</v>
      </c>
      <c r="D144" s="44">
        <v>248009.4</v>
      </c>
      <c r="E144" s="45">
        <v>267285.2</v>
      </c>
    </row>
    <row r="145" spans="1:5" s="1" customFormat="1" ht="16.5" x14ac:dyDescent="0.3">
      <c r="A145" s="205"/>
      <c r="B145" s="43" t="s">
        <v>124</v>
      </c>
      <c r="C145" s="44">
        <v>204806.8</v>
      </c>
      <c r="D145" s="44">
        <v>254795.1</v>
      </c>
      <c r="E145" s="45">
        <v>275664</v>
      </c>
    </row>
    <row r="146" spans="1:5" s="1" customFormat="1" x14ac:dyDescent="0.25">
      <c r="A146" s="205"/>
      <c r="B146" s="98" t="s">
        <v>125</v>
      </c>
      <c r="C146" s="99">
        <v>2006444</v>
      </c>
      <c r="D146" s="99">
        <v>2018702.2</v>
      </c>
      <c r="E146" s="100">
        <v>2136038.2999999998</v>
      </c>
    </row>
    <row r="147" spans="1:5" s="1" customFormat="1" ht="16.5" x14ac:dyDescent="0.3">
      <c r="A147" s="204" t="s">
        <v>126</v>
      </c>
      <c r="B147" s="40" t="s">
        <v>117</v>
      </c>
      <c r="C147" s="41">
        <v>12572.4</v>
      </c>
      <c r="D147" s="41">
        <v>1888.8</v>
      </c>
      <c r="E147" s="42">
        <v>84892</v>
      </c>
    </row>
    <row r="148" spans="1:5" s="1" customFormat="1" ht="16.5" x14ac:dyDescent="0.3">
      <c r="A148" s="205"/>
      <c r="B148" s="43" t="s">
        <v>118</v>
      </c>
      <c r="C148" s="44">
        <v>3842.8</v>
      </c>
      <c r="D148" s="44">
        <v>6420.1</v>
      </c>
      <c r="E148" s="45">
        <v>2281.1</v>
      </c>
    </row>
    <row r="149" spans="1:5" s="1" customFormat="1" ht="16.5" x14ac:dyDescent="0.3">
      <c r="A149" s="205"/>
      <c r="B149" s="43" t="s">
        <v>119</v>
      </c>
      <c r="C149" s="44">
        <v>10534.6</v>
      </c>
      <c r="D149" s="44">
        <v>23033.200000000001</v>
      </c>
      <c r="E149" s="45">
        <v>10618.9</v>
      </c>
    </row>
    <row r="150" spans="1:5" s="1" customFormat="1" ht="16.5" x14ac:dyDescent="0.3">
      <c r="A150" s="205"/>
      <c r="B150" s="43" t="s">
        <v>120</v>
      </c>
      <c r="C150" s="44">
        <v>27319.4</v>
      </c>
      <c r="D150" s="44">
        <v>19024.3</v>
      </c>
      <c r="E150" s="45">
        <v>5426.3</v>
      </c>
    </row>
    <row r="151" spans="1:5" s="1" customFormat="1" ht="16.5" x14ac:dyDescent="0.3">
      <c r="A151" s="205"/>
      <c r="B151" s="43" t="s">
        <v>121</v>
      </c>
      <c r="C151" s="44">
        <v>16187.4</v>
      </c>
      <c r="D151" s="44">
        <v>5886.2</v>
      </c>
      <c r="E151" s="45">
        <v>14302.1</v>
      </c>
    </row>
    <row r="152" spans="1:5" s="1" customFormat="1" ht="16.5" x14ac:dyDescent="0.3">
      <c r="A152" s="205"/>
      <c r="B152" s="43" t="s">
        <v>122</v>
      </c>
      <c r="C152" s="44">
        <v>14840.4</v>
      </c>
      <c r="D152" s="44">
        <v>40958.6</v>
      </c>
      <c r="E152" s="45">
        <v>42502.2</v>
      </c>
    </row>
    <row r="153" spans="1:5" s="1" customFormat="1" ht="16.5" x14ac:dyDescent="0.3">
      <c r="A153" s="205"/>
      <c r="B153" s="43" t="s">
        <v>123</v>
      </c>
      <c r="C153" s="44">
        <v>33523.4</v>
      </c>
      <c r="D153" s="44">
        <v>24395.4</v>
      </c>
      <c r="E153" s="45">
        <v>28982.6</v>
      </c>
    </row>
    <row r="154" spans="1:5" s="1" customFormat="1" ht="16.5" x14ac:dyDescent="0.3">
      <c r="A154" s="205"/>
      <c r="B154" s="43" t="s">
        <v>124</v>
      </c>
      <c r="C154" s="44">
        <v>29250</v>
      </c>
      <c r="D154" s="44">
        <v>25096.6</v>
      </c>
      <c r="E154" s="45">
        <v>25000</v>
      </c>
    </row>
    <row r="155" spans="1:5" s="1" customFormat="1" x14ac:dyDescent="0.25">
      <c r="A155" s="206"/>
      <c r="B155" s="46" t="s">
        <v>161</v>
      </c>
      <c r="C155" s="47">
        <v>148070.39999999999</v>
      </c>
      <c r="D155" s="47">
        <v>146703.20000000001</v>
      </c>
      <c r="E155" s="48">
        <v>214005.2</v>
      </c>
    </row>
    <row r="156" spans="1:5" s="1" customFormat="1" ht="16.5" x14ac:dyDescent="0.3">
      <c r="A156" s="222" t="s">
        <v>127</v>
      </c>
      <c r="B156" s="43" t="s">
        <v>117</v>
      </c>
      <c r="C156" s="44">
        <v>38547.699999999997</v>
      </c>
      <c r="D156" s="44">
        <v>65953.7</v>
      </c>
      <c r="E156" s="45">
        <v>205196.4</v>
      </c>
    </row>
    <row r="157" spans="1:5" s="1" customFormat="1" ht="16.5" x14ac:dyDescent="0.3">
      <c r="A157" s="205"/>
      <c r="B157" s="43" t="s">
        <v>118</v>
      </c>
      <c r="C157" s="44">
        <v>613.4</v>
      </c>
      <c r="D157" s="44">
        <v>37</v>
      </c>
      <c r="E157" s="45">
        <v>15775.5</v>
      </c>
    </row>
    <row r="158" spans="1:5" s="1" customFormat="1" ht="16.5" x14ac:dyDescent="0.3">
      <c r="A158" s="205"/>
      <c r="B158" s="43" t="s">
        <v>119</v>
      </c>
      <c r="C158" s="44">
        <v>11956.9</v>
      </c>
      <c r="D158" s="44">
        <v>7189.9</v>
      </c>
      <c r="E158" s="45">
        <v>24418.1</v>
      </c>
    </row>
    <row r="159" spans="1:5" s="1" customFormat="1" ht="16.5" x14ac:dyDescent="0.3">
      <c r="A159" s="205"/>
      <c r="B159" s="43" t="s">
        <v>120</v>
      </c>
      <c r="C159" s="44">
        <v>20445.3</v>
      </c>
      <c r="D159" s="44">
        <v>23409.599999999999</v>
      </c>
      <c r="E159" s="45">
        <v>1661.9</v>
      </c>
    </row>
    <row r="160" spans="1:5" s="1" customFormat="1" ht="16.5" x14ac:dyDescent="0.3">
      <c r="A160" s="205"/>
      <c r="B160" s="43" t="s">
        <v>121</v>
      </c>
      <c r="C160" s="44">
        <v>13668</v>
      </c>
      <c r="D160" s="44">
        <v>14150.1</v>
      </c>
      <c r="E160" s="45">
        <v>33139</v>
      </c>
    </row>
    <row r="161" spans="1:5" s="1" customFormat="1" ht="16.5" x14ac:dyDescent="0.3">
      <c r="A161" s="205"/>
      <c r="B161" s="43" t="s">
        <v>128</v>
      </c>
      <c r="C161" s="44">
        <v>107545.8</v>
      </c>
      <c r="D161" s="44">
        <v>66053.2</v>
      </c>
      <c r="E161" s="45">
        <v>74669.7</v>
      </c>
    </row>
    <row r="162" spans="1:5" s="1" customFormat="1" ht="16.5" x14ac:dyDescent="0.3">
      <c r="A162" s="205"/>
      <c r="B162" s="43" t="s">
        <v>123</v>
      </c>
      <c r="C162" s="44">
        <v>66405.100000000006</v>
      </c>
      <c r="D162" s="44">
        <v>26679</v>
      </c>
      <c r="E162" s="45">
        <v>41388.5</v>
      </c>
    </row>
    <row r="163" spans="1:5" s="1" customFormat="1" ht="16.5" x14ac:dyDescent="0.3">
      <c r="A163" s="205"/>
      <c r="B163" s="43" t="s">
        <v>124</v>
      </c>
      <c r="C163" s="44">
        <v>297397</v>
      </c>
      <c r="D163" s="44">
        <v>347888.2</v>
      </c>
      <c r="E163" s="45">
        <v>280891.09999999998</v>
      </c>
    </row>
    <row r="164" spans="1:5" s="1" customFormat="1" x14ac:dyDescent="0.25">
      <c r="A164" s="205"/>
      <c r="B164" s="98" t="s">
        <v>129</v>
      </c>
      <c r="C164" s="99">
        <v>556579.19999999995</v>
      </c>
      <c r="D164" s="99">
        <v>551360.69999999995</v>
      </c>
      <c r="E164" s="100">
        <v>677140.2</v>
      </c>
    </row>
    <row r="165" spans="1:5" s="1" customFormat="1" ht="16.5" x14ac:dyDescent="0.3">
      <c r="A165" s="204" t="s">
        <v>130</v>
      </c>
      <c r="B165" s="40" t="s">
        <v>117</v>
      </c>
      <c r="C165" s="41">
        <v>33017.800000000003</v>
      </c>
      <c r="D165" s="41">
        <v>13021.4</v>
      </c>
      <c r="E165" s="42">
        <v>31956.3</v>
      </c>
    </row>
    <row r="166" spans="1:5" s="1" customFormat="1" ht="16.5" x14ac:dyDescent="0.3">
      <c r="A166" s="205"/>
      <c r="B166" s="43" t="s">
        <v>118</v>
      </c>
      <c r="C166" s="44">
        <v>23612.3</v>
      </c>
      <c r="D166" s="44">
        <v>9220.4</v>
      </c>
      <c r="E166" s="45">
        <v>20010.5</v>
      </c>
    </row>
    <row r="167" spans="1:5" s="1" customFormat="1" ht="16.5" x14ac:dyDescent="0.3">
      <c r="A167" s="205"/>
      <c r="B167" s="43" t="s">
        <v>119</v>
      </c>
      <c r="C167" s="44">
        <v>54829</v>
      </c>
      <c r="D167" s="44">
        <v>49918</v>
      </c>
      <c r="E167" s="45">
        <v>19054.099999999999</v>
      </c>
    </row>
    <row r="168" spans="1:5" s="1" customFormat="1" ht="16.5" x14ac:dyDescent="0.3">
      <c r="A168" s="205"/>
      <c r="B168" s="43" t="s">
        <v>120</v>
      </c>
      <c r="C168" s="44">
        <v>23595.3</v>
      </c>
      <c r="D168" s="44">
        <v>11984.1</v>
      </c>
      <c r="E168" s="45">
        <v>28389</v>
      </c>
    </row>
    <row r="169" spans="1:5" s="1" customFormat="1" ht="16.5" x14ac:dyDescent="0.3">
      <c r="A169" s="205"/>
      <c r="B169" s="43" t="s">
        <v>121</v>
      </c>
      <c r="C169" s="44">
        <v>53183.199999999997</v>
      </c>
      <c r="D169" s="44">
        <v>24957.200000000001</v>
      </c>
      <c r="E169" s="45">
        <v>9988.6</v>
      </c>
    </row>
    <row r="170" spans="1:5" s="1" customFormat="1" ht="16.5" x14ac:dyDescent="0.3">
      <c r="A170" s="205"/>
      <c r="B170" s="43" t="s">
        <v>122</v>
      </c>
      <c r="C170" s="44">
        <v>7112.9</v>
      </c>
      <c r="D170" s="44">
        <v>27392.3</v>
      </c>
      <c r="E170" s="45">
        <v>69394</v>
      </c>
    </row>
    <row r="171" spans="1:5" s="1" customFormat="1" ht="16.5" x14ac:dyDescent="0.3">
      <c r="A171" s="205"/>
      <c r="B171" s="43" t="s">
        <v>123</v>
      </c>
      <c r="C171" s="44">
        <v>47443.5</v>
      </c>
      <c r="D171" s="44">
        <v>42296.6</v>
      </c>
      <c r="E171" s="45">
        <v>28376.2</v>
      </c>
    </row>
    <row r="172" spans="1:5" s="1" customFormat="1" ht="16.5" x14ac:dyDescent="0.3">
      <c r="A172" s="205"/>
      <c r="B172" s="43" t="s">
        <v>124</v>
      </c>
      <c r="C172" s="44">
        <v>8227.5</v>
      </c>
      <c r="D172" s="44">
        <v>27589.8</v>
      </c>
      <c r="E172" s="45">
        <v>4176.7</v>
      </c>
    </row>
    <row r="173" spans="1:5" s="1" customFormat="1" x14ac:dyDescent="0.25">
      <c r="A173" s="206"/>
      <c r="B173" s="46" t="s">
        <v>131</v>
      </c>
      <c r="C173" s="47">
        <v>251021.5</v>
      </c>
      <c r="D173" s="47">
        <v>206379.8</v>
      </c>
      <c r="E173" s="48">
        <v>211345.4</v>
      </c>
    </row>
    <row r="174" spans="1:5" s="1" customFormat="1" ht="16.5" x14ac:dyDescent="0.3">
      <c r="A174" s="204" t="s">
        <v>132</v>
      </c>
      <c r="B174" s="40" t="s">
        <v>117</v>
      </c>
      <c r="C174" s="41">
        <v>26138.5</v>
      </c>
      <c r="D174" s="41">
        <v>4822.8999999999996</v>
      </c>
      <c r="E174" s="42">
        <v>6683.7</v>
      </c>
    </row>
    <row r="175" spans="1:5" s="1" customFormat="1" ht="16.5" x14ac:dyDescent="0.3">
      <c r="A175" s="223"/>
      <c r="B175" s="43" t="s">
        <v>118</v>
      </c>
      <c r="C175" s="44">
        <v>11659.7</v>
      </c>
      <c r="D175" s="44">
        <v>13323.1</v>
      </c>
      <c r="E175" s="45">
        <v>12855.7</v>
      </c>
    </row>
    <row r="176" spans="1:5" s="1" customFormat="1" ht="16.5" x14ac:dyDescent="0.3">
      <c r="A176" s="223"/>
      <c r="B176" s="43" t="s">
        <v>119</v>
      </c>
      <c r="C176" s="44">
        <v>23410.400000000001</v>
      </c>
      <c r="D176" s="44">
        <v>29165.599999999999</v>
      </c>
      <c r="E176" s="45">
        <v>26192.400000000001</v>
      </c>
    </row>
    <row r="177" spans="1:5" s="1" customFormat="1" ht="16.5" x14ac:dyDescent="0.3">
      <c r="A177" s="223"/>
      <c r="B177" s="43" t="s">
        <v>120</v>
      </c>
      <c r="C177" s="44">
        <v>37122.199999999997</v>
      </c>
      <c r="D177" s="44">
        <v>26388.799999999999</v>
      </c>
      <c r="E177" s="45">
        <v>24294.7</v>
      </c>
    </row>
    <row r="178" spans="1:5" s="1" customFormat="1" ht="16.5" x14ac:dyDescent="0.3">
      <c r="A178" s="223"/>
      <c r="B178" s="43" t="s">
        <v>121</v>
      </c>
      <c r="C178" s="44">
        <v>39871.5</v>
      </c>
      <c r="D178" s="44">
        <v>14398.4</v>
      </c>
      <c r="E178" s="45">
        <v>16699.2</v>
      </c>
    </row>
    <row r="179" spans="1:5" s="1" customFormat="1" ht="16.5" x14ac:dyDescent="0.3">
      <c r="A179" s="223"/>
      <c r="B179" s="43" t="s">
        <v>122</v>
      </c>
      <c r="C179" s="44">
        <v>8156.8</v>
      </c>
      <c r="D179" s="44">
        <v>16832.7</v>
      </c>
      <c r="E179" s="45">
        <v>60982.9</v>
      </c>
    </row>
    <row r="180" spans="1:5" s="1" customFormat="1" ht="16.5" x14ac:dyDescent="0.3">
      <c r="A180" s="223"/>
      <c r="B180" s="43" t="s">
        <v>123</v>
      </c>
      <c r="C180" s="44">
        <v>59744.4</v>
      </c>
      <c r="D180" s="44">
        <v>41027.4</v>
      </c>
      <c r="E180" s="45">
        <v>26481.9</v>
      </c>
    </row>
    <row r="181" spans="1:5" s="1" customFormat="1" ht="16.5" x14ac:dyDescent="0.3">
      <c r="A181" s="223"/>
      <c r="B181" s="43" t="s">
        <v>124</v>
      </c>
      <c r="C181" s="44" t="s">
        <v>151</v>
      </c>
      <c r="D181" s="44">
        <v>24925.1</v>
      </c>
      <c r="E181" s="45">
        <v>6673.6</v>
      </c>
    </row>
    <row r="182" spans="1:5" s="1" customFormat="1" x14ac:dyDescent="0.25">
      <c r="A182" s="224"/>
      <c r="B182" s="46" t="s">
        <v>133</v>
      </c>
      <c r="C182" s="47">
        <v>206103.5</v>
      </c>
      <c r="D182" s="47">
        <v>170884</v>
      </c>
      <c r="E182" s="48">
        <v>180864.1</v>
      </c>
    </row>
    <row r="183" spans="1:5" s="1" customFormat="1" ht="16.5" x14ac:dyDescent="0.3">
      <c r="A183" s="204" t="s">
        <v>134</v>
      </c>
      <c r="B183" s="40" t="s">
        <v>117</v>
      </c>
      <c r="C183" s="41">
        <v>35796.400000000001</v>
      </c>
      <c r="D183" s="41">
        <v>30176.400000000001</v>
      </c>
      <c r="E183" s="42">
        <v>32731.7</v>
      </c>
    </row>
    <row r="184" spans="1:5" s="1" customFormat="1" ht="16.5" x14ac:dyDescent="0.3">
      <c r="A184" s="205"/>
      <c r="B184" s="43" t="s">
        <v>118</v>
      </c>
      <c r="C184" s="44">
        <v>11868.8</v>
      </c>
      <c r="D184" s="44">
        <v>13621.4</v>
      </c>
      <c r="E184" s="45">
        <v>9807</v>
      </c>
    </row>
    <row r="185" spans="1:5" ht="16.5" x14ac:dyDescent="0.3">
      <c r="A185" s="205"/>
      <c r="B185" s="43" t="s">
        <v>119</v>
      </c>
      <c r="C185" s="44">
        <v>74834.100000000006</v>
      </c>
      <c r="D185" s="44">
        <v>135292.9</v>
      </c>
      <c r="E185" s="45">
        <v>30424.2</v>
      </c>
    </row>
    <row r="186" spans="1:5" ht="16.5" x14ac:dyDescent="0.3">
      <c r="A186" s="205"/>
      <c r="B186" s="43" t="s">
        <v>120</v>
      </c>
      <c r="C186" s="44">
        <v>109689.9</v>
      </c>
      <c r="D186" s="44">
        <v>92207</v>
      </c>
      <c r="E186" s="45">
        <v>155680.70000000001</v>
      </c>
    </row>
    <row r="187" spans="1:5" ht="16.5" x14ac:dyDescent="0.3">
      <c r="A187" s="205"/>
      <c r="B187" s="43" t="s">
        <v>121</v>
      </c>
      <c r="C187" s="44">
        <v>138496.29999999999</v>
      </c>
      <c r="D187" s="44">
        <v>134125.79999999999</v>
      </c>
      <c r="E187" s="45">
        <v>121303.4</v>
      </c>
    </row>
    <row r="188" spans="1:5" ht="16.5" x14ac:dyDescent="0.3">
      <c r="A188" s="205"/>
      <c r="B188" s="43" t="s">
        <v>122</v>
      </c>
      <c r="C188" s="44">
        <v>464036.8</v>
      </c>
      <c r="D188" s="44">
        <v>440674.2</v>
      </c>
      <c r="E188" s="45">
        <v>489023.1</v>
      </c>
    </row>
    <row r="189" spans="1:5" ht="16.5" x14ac:dyDescent="0.3">
      <c r="A189" s="205"/>
      <c r="B189" s="43" t="s">
        <v>123</v>
      </c>
      <c r="C189" s="44">
        <v>218300.79999999999</v>
      </c>
      <c r="D189" s="44">
        <v>197982.3</v>
      </c>
      <c r="E189" s="45">
        <v>164902</v>
      </c>
    </row>
    <row r="190" spans="1:5" ht="16.5" x14ac:dyDescent="0.3">
      <c r="A190" s="205"/>
      <c r="B190" s="43" t="s">
        <v>124</v>
      </c>
      <c r="C190" s="44">
        <v>470697.4</v>
      </c>
      <c r="D190" s="44">
        <v>463447</v>
      </c>
      <c r="E190" s="45">
        <v>516735.3</v>
      </c>
    </row>
    <row r="191" spans="1:5" x14ac:dyDescent="0.25">
      <c r="A191" s="206"/>
      <c r="B191" s="46" t="s">
        <v>135</v>
      </c>
      <c r="C191" s="47">
        <v>1523720.5</v>
      </c>
      <c r="D191" s="47">
        <v>1507527</v>
      </c>
      <c r="E191" s="48">
        <v>1520607.4</v>
      </c>
    </row>
    <row r="192" spans="1:5" ht="16.5" x14ac:dyDescent="0.3">
      <c r="A192" s="202" t="s">
        <v>163</v>
      </c>
      <c r="B192" s="203"/>
      <c r="C192" s="203"/>
      <c r="D192" s="203"/>
      <c r="E192" s="203"/>
    </row>
    <row r="193" spans="1:5" ht="16.5" x14ac:dyDescent="0.3">
      <c r="A193" s="76"/>
      <c r="B193" s="77" t="str">
        <f>A2</f>
        <v>Period of Year End</v>
      </c>
      <c r="C193" s="78">
        <f>C2</f>
        <v>42460</v>
      </c>
      <c r="D193" s="78">
        <f>D2</f>
        <v>42825</v>
      </c>
      <c r="E193" s="79">
        <f>E2</f>
        <v>43190</v>
      </c>
    </row>
    <row r="194" spans="1:5" ht="16.5" x14ac:dyDescent="0.3">
      <c r="A194" s="204" t="s">
        <v>164</v>
      </c>
      <c r="B194" s="40" t="s">
        <v>165</v>
      </c>
      <c r="C194" s="41">
        <v>83579.7</v>
      </c>
      <c r="D194" s="41">
        <v>153845.70000000001</v>
      </c>
      <c r="E194" s="94">
        <v>206878.3</v>
      </c>
    </row>
    <row r="195" spans="1:5" ht="16.5" x14ac:dyDescent="0.3">
      <c r="A195" s="205"/>
      <c r="B195" s="43" t="s">
        <v>166</v>
      </c>
      <c r="C195" s="44">
        <v>129248.1</v>
      </c>
      <c r="D195" s="44">
        <v>114170</v>
      </c>
      <c r="E195" s="95">
        <v>129032.8</v>
      </c>
    </row>
    <row r="196" spans="1:5" ht="16.5" x14ac:dyDescent="0.3">
      <c r="A196" s="205"/>
      <c r="B196" s="43" t="s">
        <v>167</v>
      </c>
      <c r="C196" s="44">
        <v>22429.599999999999</v>
      </c>
      <c r="D196" s="44">
        <v>36716.9</v>
      </c>
      <c r="E196" s="95">
        <v>33790.800000000003</v>
      </c>
    </row>
    <row r="197" spans="1:5" ht="16.5" x14ac:dyDescent="0.3">
      <c r="A197" s="205"/>
      <c r="B197" s="43" t="s">
        <v>168</v>
      </c>
      <c r="C197" s="44">
        <v>36552.5</v>
      </c>
      <c r="D197" s="44">
        <v>24420.5</v>
      </c>
      <c r="E197" s="95">
        <v>36492.400000000001</v>
      </c>
    </row>
    <row r="198" spans="1:5" ht="16.5" x14ac:dyDescent="0.3">
      <c r="A198" s="205"/>
      <c r="B198" s="43" t="s">
        <v>169</v>
      </c>
      <c r="C198" s="44">
        <v>153845.70000000001</v>
      </c>
      <c r="D198" s="44">
        <v>206878.3</v>
      </c>
      <c r="E198" s="95">
        <v>265627.90000000002</v>
      </c>
    </row>
    <row r="199" spans="1:5" ht="16.5" x14ac:dyDescent="0.3">
      <c r="A199" s="204" t="s">
        <v>170</v>
      </c>
      <c r="B199" s="40" t="s">
        <v>165</v>
      </c>
      <c r="C199" s="41">
        <v>59788.9</v>
      </c>
      <c r="D199" s="41">
        <v>102925.1</v>
      </c>
      <c r="E199" s="94">
        <v>134335.1</v>
      </c>
    </row>
    <row r="200" spans="1:5" ht="16.5" x14ac:dyDescent="0.3">
      <c r="A200" s="206"/>
      <c r="B200" s="83" t="s">
        <v>169</v>
      </c>
      <c r="C200" s="74">
        <v>102925.1</v>
      </c>
      <c r="D200" s="74">
        <v>134335.1</v>
      </c>
      <c r="E200" s="101">
        <v>122291.3</v>
      </c>
    </row>
    <row r="201" spans="1:5" ht="16.5" x14ac:dyDescent="0.3">
      <c r="A201" s="204" t="s">
        <v>173</v>
      </c>
      <c r="B201" s="40" t="s">
        <v>175</v>
      </c>
      <c r="C201" s="70">
        <v>46537.8</v>
      </c>
      <c r="D201" s="41">
        <v>30886.1</v>
      </c>
      <c r="E201" s="42">
        <v>9450.2000000000007</v>
      </c>
    </row>
    <row r="202" spans="1:5" ht="16.5" x14ac:dyDescent="0.3">
      <c r="A202" s="205"/>
      <c r="B202" s="43" t="s">
        <v>176</v>
      </c>
      <c r="C202" s="64"/>
      <c r="D202" s="44"/>
      <c r="E202" s="45"/>
    </row>
    <row r="203" spans="1:5" ht="16.5" x14ac:dyDescent="0.3">
      <c r="A203" s="205"/>
      <c r="B203" s="43" t="s">
        <v>177</v>
      </c>
      <c r="C203" s="64"/>
      <c r="D203" s="44"/>
      <c r="E203" s="45"/>
    </row>
    <row r="204" spans="1:5" ht="16.5" x14ac:dyDescent="0.3">
      <c r="A204" s="206"/>
      <c r="B204" s="83" t="s">
        <v>178</v>
      </c>
      <c r="C204" s="73">
        <v>46537.8</v>
      </c>
      <c r="D204" s="74">
        <v>30886.1</v>
      </c>
      <c r="E204" s="75">
        <v>9450.2000000000007</v>
      </c>
    </row>
    <row r="205" spans="1:5" ht="16.5" x14ac:dyDescent="0.3">
      <c r="A205" s="204" t="s">
        <v>174</v>
      </c>
      <c r="B205" s="40" t="s">
        <v>175</v>
      </c>
      <c r="C205" s="70">
        <v>36789.4</v>
      </c>
      <c r="D205" s="41">
        <v>15670</v>
      </c>
      <c r="E205" s="42"/>
    </row>
    <row r="206" spans="1:5" ht="16.5" x14ac:dyDescent="0.3">
      <c r="A206" s="205"/>
      <c r="B206" s="43" t="s">
        <v>176</v>
      </c>
      <c r="C206" s="64"/>
      <c r="D206" s="44"/>
      <c r="E206" s="45"/>
    </row>
    <row r="207" spans="1:5" ht="16.5" x14ac:dyDescent="0.3">
      <c r="A207" s="205"/>
      <c r="B207" s="43" t="s">
        <v>177</v>
      </c>
      <c r="C207" s="64"/>
      <c r="D207" s="44"/>
      <c r="E207" s="45"/>
    </row>
    <row r="208" spans="1:5" ht="16.5" x14ac:dyDescent="0.3">
      <c r="A208" s="206"/>
      <c r="B208" s="83" t="s">
        <v>179</v>
      </c>
      <c r="C208" s="73">
        <v>36789.4</v>
      </c>
      <c r="D208" s="74">
        <v>15670</v>
      </c>
      <c r="E208" s="75"/>
    </row>
    <row r="209" spans="1:7" x14ac:dyDescent="0.25">
      <c r="A209" s="214" t="s">
        <v>180</v>
      </c>
      <c r="B209" s="215"/>
      <c r="C209" s="102">
        <v>83327.199999999997</v>
      </c>
      <c r="D209" s="103">
        <v>46556.1</v>
      </c>
      <c r="E209" s="104">
        <v>9450.2000000000007</v>
      </c>
    </row>
    <row r="210" spans="1:7" ht="16.5" x14ac:dyDescent="0.3">
      <c r="A210" s="202" t="s">
        <v>204</v>
      </c>
      <c r="B210" s="203"/>
      <c r="C210" s="203"/>
      <c r="D210" s="203"/>
      <c r="E210" s="203"/>
      <c r="G210" s="9"/>
    </row>
    <row r="211" spans="1:7" ht="16.5" x14ac:dyDescent="0.3">
      <c r="A211" s="209" t="s">
        <v>181</v>
      </c>
      <c r="B211" s="210"/>
      <c r="C211" s="211">
        <v>23967</v>
      </c>
      <c r="D211" s="212"/>
      <c r="E211" s="213"/>
      <c r="G211" s="9"/>
    </row>
    <row r="212" spans="1:7" ht="16.5" x14ac:dyDescent="0.3">
      <c r="A212" s="209" t="s">
        <v>182</v>
      </c>
      <c r="B212" s="210"/>
      <c r="C212" s="211">
        <v>3245</v>
      </c>
      <c r="D212" s="212"/>
      <c r="E212" s="213"/>
    </row>
    <row r="213" spans="1:7" x14ac:dyDescent="0.25">
      <c r="C213" s="5"/>
      <c r="D213" s="5"/>
      <c r="E213" s="7"/>
    </row>
    <row r="214" spans="1:7" x14ac:dyDescent="0.25">
      <c r="C214" s="5"/>
      <c r="D214" s="5"/>
      <c r="E214" s="7"/>
    </row>
    <row r="215" spans="1:7" x14ac:dyDescent="0.25">
      <c r="C215" s="5"/>
      <c r="D215" s="5"/>
      <c r="E215" s="7"/>
    </row>
    <row r="216" spans="1:7" x14ac:dyDescent="0.25">
      <c r="C216" s="5"/>
      <c r="D216" s="5"/>
      <c r="E216" s="7"/>
    </row>
    <row r="217" spans="1:7" x14ac:dyDescent="0.25">
      <c r="C217" s="5"/>
      <c r="D217" s="5"/>
      <c r="E217" s="7"/>
    </row>
    <row r="218" spans="1:7" x14ac:dyDescent="0.25">
      <c r="C218" s="5"/>
      <c r="D218" s="5"/>
      <c r="E218" s="7"/>
    </row>
    <row r="219" spans="1:7" x14ac:dyDescent="0.25">
      <c r="C219" s="5"/>
      <c r="D219" s="5"/>
      <c r="E219" s="7"/>
    </row>
    <row r="220" spans="1:7" x14ac:dyDescent="0.25">
      <c r="C220" s="5"/>
      <c r="D220" s="5"/>
      <c r="E220" s="7"/>
    </row>
    <row r="221" spans="1:7" x14ac:dyDescent="0.25">
      <c r="C221" s="5"/>
      <c r="D221" s="5"/>
      <c r="E221" s="7"/>
    </row>
    <row r="222" spans="1:7" x14ac:dyDescent="0.25">
      <c r="C222" s="6"/>
      <c r="D222" s="6"/>
      <c r="E222" s="8"/>
    </row>
    <row r="223" spans="1:7" x14ac:dyDescent="0.25">
      <c r="C223" s="5"/>
      <c r="D223" s="5"/>
      <c r="E223" s="7"/>
    </row>
    <row r="224" spans="1:7" x14ac:dyDescent="0.25">
      <c r="C224" s="5"/>
      <c r="D224" s="5"/>
      <c r="E224" s="7"/>
    </row>
    <row r="225" spans="3:5" x14ac:dyDescent="0.25">
      <c r="C225" s="5"/>
      <c r="D225" s="5"/>
      <c r="E225" s="7"/>
    </row>
    <row r="226" spans="3:5" x14ac:dyDescent="0.25">
      <c r="C226" s="5"/>
      <c r="D226" s="5"/>
      <c r="E226" s="7"/>
    </row>
    <row r="227" spans="3:5" x14ac:dyDescent="0.25">
      <c r="C227" s="5"/>
      <c r="D227" s="5"/>
      <c r="E227" s="7"/>
    </row>
  </sheetData>
  <mergeCells count="38">
    <mergeCell ref="A1:E1"/>
    <mergeCell ref="A2:B2"/>
    <mergeCell ref="A3:B3"/>
    <mergeCell ref="A4:A8"/>
    <mergeCell ref="A80:A120"/>
    <mergeCell ref="A9:A15"/>
    <mergeCell ref="A16:B16"/>
    <mergeCell ref="A17:A20"/>
    <mergeCell ref="A21:A33"/>
    <mergeCell ref="A34:B34"/>
    <mergeCell ref="A35:B35"/>
    <mergeCell ref="A36:B36"/>
    <mergeCell ref="A37:B37"/>
    <mergeCell ref="A40:A44"/>
    <mergeCell ref="A47:A79"/>
    <mergeCell ref="A45:E45"/>
    <mergeCell ref="A132:A135"/>
    <mergeCell ref="A147:A155"/>
    <mergeCell ref="A156:A164"/>
    <mergeCell ref="A165:A173"/>
    <mergeCell ref="A174:A182"/>
    <mergeCell ref="A138:A146"/>
    <mergeCell ref="A192:E192"/>
    <mergeCell ref="A136:E136"/>
    <mergeCell ref="A183:A191"/>
    <mergeCell ref="A122:B122"/>
    <mergeCell ref="A212:B212"/>
    <mergeCell ref="C212:E212"/>
    <mergeCell ref="A199:A200"/>
    <mergeCell ref="A201:A204"/>
    <mergeCell ref="A205:A208"/>
    <mergeCell ref="A209:B209"/>
    <mergeCell ref="A210:E210"/>
    <mergeCell ref="A211:B211"/>
    <mergeCell ref="C211:E211"/>
    <mergeCell ref="A194:A198"/>
    <mergeCell ref="A123:A125"/>
    <mergeCell ref="A126:A1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80"/>
  <sheetViews>
    <sheetView tabSelected="1" topLeftCell="A75" zoomScale="90" zoomScaleNormal="90" workbookViewId="0">
      <selection activeCell="C78" sqref="C78:C80"/>
    </sheetView>
  </sheetViews>
  <sheetFormatPr defaultRowHeight="15" x14ac:dyDescent="0.25"/>
  <cols>
    <col min="1" max="1" width="41.28515625" style="1" bestFit="1" customWidth="1"/>
    <col min="2" max="2" width="18.7109375" style="1" customWidth="1"/>
    <col min="3" max="3" width="18.7109375" style="2" customWidth="1"/>
    <col min="4" max="4" width="18.7109375" style="1" customWidth="1"/>
    <col min="5" max="5" width="19.7109375" style="1" customWidth="1"/>
    <col min="6" max="6" width="17.140625" style="1" customWidth="1"/>
    <col min="7" max="28" width="9.140625" style="1"/>
  </cols>
  <sheetData>
    <row r="1" spans="1:28" x14ac:dyDescent="0.25">
      <c r="A1" s="3" t="s">
        <v>382</v>
      </c>
      <c r="B1" s="244"/>
      <c r="C1" s="243"/>
    </row>
    <row r="2" spans="1:28" x14ac:dyDescent="0.25">
      <c r="A2" s="3" t="s">
        <v>4</v>
      </c>
      <c r="B2" s="242"/>
      <c r="C2" s="243"/>
    </row>
    <row r="3" spans="1:28" x14ac:dyDescent="0.25">
      <c r="A3" s="3" t="s">
        <v>162</v>
      </c>
      <c r="B3" s="251"/>
      <c r="C3" s="243"/>
    </row>
    <row r="4" spans="1:28" x14ac:dyDescent="0.25">
      <c r="A4" s="3" t="s">
        <v>136</v>
      </c>
      <c r="B4" s="242"/>
      <c r="C4" s="243"/>
    </row>
    <row r="5" spans="1:28" x14ac:dyDescent="0.25">
      <c r="A5" s="3" t="s">
        <v>137</v>
      </c>
      <c r="B5" s="242"/>
      <c r="C5" s="243"/>
    </row>
    <row r="6" spans="1:28" ht="15.75" customHeight="1" x14ac:dyDescent="0.25">
      <c r="A6" s="249" t="s">
        <v>383</v>
      </c>
      <c r="B6" s="250"/>
      <c r="C6" s="250"/>
      <c r="AB6"/>
    </row>
    <row r="7" spans="1:28" x14ac:dyDescent="0.25">
      <c r="A7" s="25" t="s">
        <v>138</v>
      </c>
      <c r="B7" s="23"/>
      <c r="C7" s="23"/>
      <c r="AA7"/>
      <c r="AB7"/>
    </row>
    <row r="8" spans="1:28" x14ac:dyDescent="0.25">
      <c r="A8" s="25" t="s">
        <v>139</v>
      </c>
      <c r="B8" s="24"/>
      <c r="C8" s="24"/>
      <c r="AA8"/>
      <c r="AB8"/>
    </row>
    <row r="9" spans="1:28" x14ac:dyDescent="0.25">
      <c r="A9" s="25" t="s">
        <v>5</v>
      </c>
      <c r="B9" s="25"/>
      <c r="C9" s="25"/>
      <c r="AA9"/>
      <c r="AB9"/>
    </row>
    <row r="10" spans="1:28" x14ac:dyDescent="0.25">
      <c r="A10" s="4" t="s">
        <v>384</v>
      </c>
      <c r="B10" s="177"/>
      <c r="C10" s="177"/>
      <c r="AA10"/>
      <c r="AB10"/>
    </row>
    <row r="11" spans="1:28" x14ac:dyDescent="0.25">
      <c r="A11" s="4" t="s">
        <v>104</v>
      </c>
      <c r="B11" s="177"/>
      <c r="C11" s="177"/>
      <c r="AA11"/>
      <c r="AB11"/>
    </row>
    <row r="12" spans="1:28" x14ac:dyDescent="0.25">
      <c r="A12" s="4" t="s">
        <v>406</v>
      </c>
      <c r="B12" s="178"/>
      <c r="C12" s="178"/>
      <c r="AA12"/>
      <c r="AB12"/>
    </row>
    <row r="13" spans="1:28" x14ac:dyDescent="0.25">
      <c r="A13" s="4" t="s">
        <v>407</v>
      </c>
      <c r="B13" s="178"/>
      <c r="C13" s="178"/>
      <c r="AA13"/>
      <c r="AB13"/>
    </row>
    <row r="14" spans="1:28" x14ac:dyDescent="0.25">
      <c r="A14" s="4" t="s">
        <v>439</v>
      </c>
      <c r="B14" s="178"/>
      <c r="C14" s="178"/>
      <c r="AA14"/>
      <c r="AB14"/>
    </row>
    <row r="15" spans="1:28" x14ac:dyDescent="0.25">
      <c r="A15" s="147" t="s">
        <v>183</v>
      </c>
      <c r="B15" s="178"/>
      <c r="C15" s="178"/>
      <c r="AA15"/>
      <c r="AB15"/>
    </row>
    <row r="16" spans="1:28" x14ac:dyDescent="0.25">
      <c r="A16" s="147" t="s">
        <v>398</v>
      </c>
      <c r="B16" s="178"/>
      <c r="C16" s="178"/>
      <c r="AA16"/>
      <c r="AB16"/>
    </row>
    <row r="17" spans="1:28" x14ac:dyDescent="0.25">
      <c r="A17" s="147" t="s">
        <v>408</v>
      </c>
      <c r="B17" s="178"/>
      <c r="C17" s="178"/>
      <c r="AA17"/>
      <c r="AB17"/>
    </row>
    <row r="18" spans="1:28" x14ac:dyDescent="0.25">
      <c r="A18" s="147" t="s">
        <v>233</v>
      </c>
      <c r="B18" s="178"/>
      <c r="C18" s="178"/>
      <c r="AA18"/>
      <c r="AB18"/>
    </row>
    <row r="19" spans="1:28" x14ac:dyDescent="0.25">
      <c r="A19" s="147" t="s">
        <v>341</v>
      </c>
      <c r="B19" s="178"/>
      <c r="C19" s="178"/>
      <c r="AA19"/>
      <c r="AB19"/>
    </row>
    <row r="20" spans="1:28" x14ac:dyDescent="0.25">
      <c r="A20" s="147" t="s">
        <v>304</v>
      </c>
      <c r="B20" s="178"/>
      <c r="C20" s="178"/>
      <c r="AA20"/>
      <c r="AB20"/>
    </row>
    <row r="21" spans="1:28" x14ac:dyDescent="0.25">
      <c r="A21" s="147" t="s">
        <v>234</v>
      </c>
      <c r="B21" s="178"/>
      <c r="C21" s="178"/>
      <c r="AA21"/>
      <c r="AB21"/>
    </row>
    <row r="22" spans="1:28" x14ac:dyDescent="0.25">
      <c r="A22" s="147" t="s">
        <v>409</v>
      </c>
      <c r="B22" s="178"/>
      <c r="C22" s="178"/>
      <c r="AA22"/>
      <c r="AB22"/>
    </row>
    <row r="23" spans="1:28" x14ac:dyDescent="0.25">
      <c r="A23" s="147" t="s">
        <v>182</v>
      </c>
      <c r="B23" s="177"/>
      <c r="C23" s="177"/>
      <c r="AA23"/>
      <c r="AB23"/>
    </row>
    <row r="24" spans="1:28" x14ac:dyDescent="0.25">
      <c r="A24" s="147" t="s">
        <v>208</v>
      </c>
      <c r="B24" s="178"/>
      <c r="C24" s="178"/>
      <c r="AA24"/>
      <c r="AB24"/>
    </row>
    <row r="25" spans="1:28" x14ac:dyDescent="0.25">
      <c r="A25" s="147" t="s">
        <v>210</v>
      </c>
      <c r="B25" s="178"/>
      <c r="C25" s="178"/>
      <c r="AA25"/>
      <c r="AB25"/>
    </row>
    <row r="26" spans="1:28" x14ac:dyDescent="0.25">
      <c r="A26" s="147" t="s">
        <v>211</v>
      </c>
      <c r="B26" s="178"/>
      <c r="C26" s="178"/>
      <c r="AA26"/>
      <c r="AB26"/>
    </row>
    <row r="27" spans="1:28" x14ac:dyDescent="0.25">
      <c r="A27" s="147" t="s">
        <v>423</v>
      </c>
      <c r="B27" s="179"/>
      <c r="C27" s="179"/>
      <c r="AA27"/>
      <c r="AB27"/>
    </row>
    <row r="28" spans="1:28" x14ac:dyDescent="0.25">
      <c r="A28" s="147" t="s">
        <v>410</v>
      </c>
      <c r="B28" s="178"/>
      <c r="C28" s="178"/>
      <c r="AA28"/>
      <c r="AB28"/>
    </row>
    <row r="29" spans="1:28" x14ac:dyDescent="0.25">
      <c r="A29" s="147" t="s">
        <v>437</v>
      </c>
      <c r="B29" s="178"/>
      <c r="C29" s="178"/>
      <c r="AA29"/>
      <c r="AB29"/>
    </row>
    <row r="30" spans="1:28" x14ac:dyDescent="0.25">
      <c r="A30" s="147" t="s">
        <v>411</v>
      </c>
      <c r="B30" s="178"/>
      <c r="C30" s="178"/>
      <c r="AA30"/>
      <c r="AB30"/>
    </row>
    <row r="31" spans="1:28" x14ac:dyDescent="0.25">
      <c r="A31" s="147" t="s">
        <v>412</v>
      </c>
      <c r="B31" s="178"/>
      <c r="C31" s="178"/>
      <c r="AA31"/>
      <c r="AB31"/>
    </row>
    <row r="32" spans="1:28" x14ac:dyDescent="0.25">
      <c r="A32" s="147" t="s">
        <v>424</v>
      </c>
      <c r="B32" s="181"/>
      <c r="C32" s="181"/>
      <c r="AA32"/>
      <c r="AB32"/>
    </row>
    <row r="33" spans="1:28" x14ac:dyDescent="0.25">
      <c r="A33" s="147" t="s">
        <v>413</v>
      </c>
      <c r="B33" s="182"/>
      <c r="C33" s="182"/>
      <c r="AA33"/>
      <c r="AB33"/>
    </row>
    <row r="34" spans="1:28" x14ac:dyDescent="0.25">
      <c r="A34" s="147" t="s">
        <v>240</v>
      </c>
      <c r="B34" s="178"/>
      <c r="C34" s="178"/>
      <c r="AA34"/>
      <c r="AB34"/>
    </row>
    <row r="35" spans="1:28" x14ac:dyDescent="0.25">
      <c r="A35" s="147" t="s">
        <v>414</v>
      </c>
      <c r="B35" s="178"/>
      <c r="C35" s="182"/>
      <c r="AA35"/>
      <c r="AB35"/>
    </row>
    <row r="36" spans="1:28" x14ac:dyDescent="0.25">
      <c r="A36" s="147" t="s">
        <v>415</v>
      </c>
      <c r="B36" s="178"/>
      <c r="C36" s="182"/>
      <c r="AA36"/>
      <c r="AB36"/>
    </row>
    <row r="37" spans="1:28" x14ac:dyDescent="0.25">
      <c r="A37" s="4" t="s">
        <v>416</v>
      </c>
      <c r="B37" s="178"/>
      <c r="C37" s="178"/>
      <c r="AA37"/>
      <c r="AB37"/>
    </row>
    <row r="38" spans="1:28" x14ac:dyDescent="0.25">
      <c r="A38" s="4" t="s">
        <v>422</v>
      </c>
      <c r="B38" s="178"/>
      <c r="C38" s="178"/>
      <c r="AA38"/>
      <c r="AB38"/>
    </row>
    <row r="39" spans="1:28" x14ac:dyDescent="0.25">
      <c r="A39" s="247" t="s">
        <v>241</v>
      </c>
      <c r="B39" s="248"/>
      <c r="C39" s="248"/>
      <c r="D39" s="161" t="s">
        <v>359</v>
      </c>
      <c r="AB39"/>
    </row>
    <row r="40" spans="1:28" x14ac:dyDescent="0.25">
      <c r="A40" s="4" t="s">
        <v>248</v>
      </c>
      <c r="B40" s="177"/>
      <c r="C40" s="183"/>
      <c r="D40" s="27"/>
      <c r="AB40"/>
    </row>
    <row r="41" spans="1:28" x14ac:dyDescent="0.25">
      <c r="A41" s="4" t="s">
        <v>249</v>
      </c>
      <c r="B41" s="177"/>
      <c r="C41" s="183"/>
      <c r="D41" s="27"/>
      <c r="AB41"/>
    </row>
    <row r="42" spans="1:28" x14ac:dyDescent="0.25">
      <c r="A42" s="4" t="s">
        <v>250</v>
      </c>
      <c r="B42" s="177"/>
      <c r="C42" s="183"/>
      <c r="D42" s="27"/>
      <c r="AB42"/>
    </row>
    <row r="43" spans="1:28" x14ac:dyDescent="0.25">
      <c r="A43" s="4" t="s">
        <v>251</v>
      </c>
      <c r="B43" s="177"/>
      <c r="C43" s="183"/>
      <c r="D43" s="27"/>
    </row>
    <row r="44" spans="1:28" x14ac:dyDescent="0.25">
      <c r="A44" s="4" t="s">
        <v>252</v>
      </c>
      <c r="B44" s="177"/>
      <c r="C44" s="183"/>
      <c r="D44" s="27"/>
    </row>
    <row r="45" spans="1:28" x14ac:dyDescent="0.25">
      <c r="A45" s="4" t="s">
        <v>253</v>
      </c>
      <c r="B45" s="177"/>
      <c r="C45" s="183"/>
      <c r="D45" s="27"/>
    </row>
    <row r="46" spans="1:28" x14ac:dyDescent="0.25">
      <c r="A46" s="4" t="s">
        <v>254</v>
      </c>
      <c r="B46" s="177"/>
      <c r="C46" s="183"/>
      <c r="D46" s="27"/>
    </row>
    <row r="47" spans="1:28" x14ac:dyDescent="0.25">
      <c r="A47" s="4" t="s">
        <v>255</v>
      </c>
      <c r="B47" s="177"/>
      <c r="C47" s="183"/>
      <c r="D47" s="27"/>
    </row>
    <row r="48" spans="1:28" x14ac:dyDescent="0.25">
      <c r="A48" s="4" t="s">
        <v>256</v>
      </c>
      <c r="B48" s="177"/>
      <c r="C48" s="183"/>
      <c r="D48" s="27"/>
    </row>
    <row r="49" spans="1:4" x14ac:dyDescent="0.25">
      <c r="A49" s="4" t="s">
        <v>257</v>
      </c>
      <c r="B49" s="177"/>
      <c r="C49" s="183"/>
      <c r="D49" s="27"/>
    </row>
    <row r="50" spans="1:4" x14ac:dyDescent="0.25">
      <c r="A50" s="4" t="s">
        <v>258</v>
      </c>
      <c r="B50" s="177"/>
      <c r="C50" s="183"/>
      <c r="D50" s="27"/>
    </row>
    <row r="51" spans="1:4" x14ac:dyDescent="0.25">
      <c r="A51" s="4" t="s">
        <v>259</v>
      </c>
      <c r="B51" s="177"/>
      <c r="C51" s="183"/>
      <c r="D51" s="27"/>
    </row>
    <row r="52" spans="1:4" x14ac:dyDescent="0.25">
      <c r="A52" s="4" t="s">
        <v>260</v>
      </c>
      <c r="B52" s="177"/>
      <c r="C52" s="183"/>
      <c r="D52" s="27"/>
    </row>
    <row r="53" spans="1:4" x14ac:dyDescent="0.25">
      <c r="A53" s="4" t="s">
        <v>261</v>
      </c>
      <c r="B53" s="177"/>
      <c r="C53" s="183"/>
      <c r="D53" s="27"/>
    </row>
    <row r="54" spans="1:4" x14ac:dyDescent="0.25">
      <c r="A54" s="4" t="s">
        <v>262</v>
      </c>
      <c r="B54" s="177"/>
      <c r="C54" s="183"/>
      <c r="D54" s="27"/>
    </row>
    <row r="55" spans="1:4" x14ac:dyDescent="0.25">
      <c r="A55" s="4" t="s">
        <v>263</v>
      </c>
      <c r="B55" s="177"/>
      <c r="C55" s="183"/>
      <c r="D55" s="27"/>
    </row>
    <row r="56" spans="1:4" x14ac:dyDescent="0.25">
      <c r="A56" s="4" t="s">
        <v>264</v>
      </c>
      <c r="B56" s="177"/>
      <c r="C56" s="183"/>
      <c r="D56" s="27"/>
    </row>
    <row r="57" spans="1:4" x14ac:dyDescent="0.25">
      <c r="A57" s="4" t="s">
        <v>265</v>
      </c>
      <c r="B57" s="177"/>
      <c r="C57" s="183"/>
      <c r="D57" s="27"/>
    </row>
    <row r="58" spans="1:4" x14ac:dyDescent="0.25">
      <c r="A58" s="4" t="s">
        <v>266</v>
      </c>
      <c r="B58" s="177"/>
      <c r="C58" s="183"/>
      <c r="D58" s="27"/>
    </row>
    <row r="59" spans="1:4" x14ac:dyDescent="0.25">
      <c r="A59" s="4" t="s">
        <v>267</v>
      </c>
      <c r="B59" s="177"/>
      <c r="C59" s="183"/>
      <c r="D59" s="27"/>
    </row>
    <row r="60" spans="1:4" x14ac:dyDescent="0.25">
      <c r="A60" s="32" t="s">
        <v>209</v>
      </c>
      <c r="B60" s="189">
        <f>SUM(B40:B59)</f>
        <v>0</v>
      </c>
      <c r="C60" s="186"/>
    </row>
    <row r="61" spans="1:4" x14ac:dyDescent="0.25">
      <c r="A61" s="247" t="s">
        <v>268</v>
      </c>
      <c r="B61" s="248"/>
      <c r="C61" s="248"/>
    </row>
    <row r="62" spans="1:4" x14ac:dyDescent="0.25">
      <c r="A62" s="245" t="str">
        <f>Definitions!A46</f>
        <v>External Rating</v>
      </c>
      <c r="B62" s="246"/>
      <c r="C62" s="26"/>
    </row>
    <row r="63" spans="1:4" x14ac:dyDescent="0.25">
      <c r="A63" s="245" t="s">
        <v>301</v>
      </c>
      <c r="B63" s="246"/>
      <c r="C63" s="180"/>
    </row>
    <row r="64" spans="1:4" x14ac:dyDescent="0.25">
      <c r="A64" s="245" t="str">
        <f>Definitions!A2</f>
        <v>Business Model</v>
      </c>
      <c r="B64" s="246"/>
      <c r="C64" s="26"/>
    </row>
    <row r="65" spans="1:3" x14ac:dyDescent="0.25">
      <c r="A65" s="245" t="str">
        <f>Definitions!A9</f>
        <v>Management Quality</v>
      </c>
      <c r="B65" s="246"/>
      <c r="C65" s="26"/>
    </row>
    <row r="66" spans="1:3" x14ac:dyDescent="0.25">
      <c r="A66" s="245" t="s">
        <v>292</v>
      </c>
      <c r="B66" s="246"/>
      <c r="C66" s="26"/>
    </row>
    <row r="67" spans="1:3" ht="33" customHeight="1" x14ac:dyDescent="0.25">
      <c r="A67" s="240" t="s">
        <v>343</v>
      </c>
      <c r="B67" s="241"/>
      <c r="C67" s="26"/>
    </row>
    <row r="68" spans="1:3" x14ac:dyDescent="0.25">
      <c r="A68" s="252" t="s">
        <v>344</v>
      </c>
      <c r="B68" s="253"/>
      <c r="C68" s="26"/>
    </row>
    <row r="69" spans="1:3" x14ac:dyDescent="0.25">
      <c r="A69" s="252" t="s">
        <v>345</v>
      </c>
      <c r="B69" s="253"/>
      <c r="C69" s="26"/>
    </row>
    <row r="70" spans="1:3" x14ac:dyDescent="0.25">
      <c r="A70" s="252" t="s">
        <v>346</v>
      </c>
      <c r="B70" s="253"/>
      <c r="C70" s="26"/>
    </row>
    <row r="71" spans="1:3" ht="33" customHeight="1" x14ac:dyDescent="0.25">
      <c r="A71" s="252" t="s">
        <v>347</v>
      </c>
      <c r="B71" s="253"/>
      <c r="C71" s="26"/>
    </row>
    <row r="72" spans="1:3" x14ac:dyDescent="0.25">
      <c r="A72" s="254" t="s">
        <v>400</v>
      </c>
      <c r="B72" s="255"/>
      <c r="C72" s="26"/>
    </row>
    <row r="73" spans="1:3" ht="29.25" customHeight="1" x14ac:dyDescent="0.25">
      <c r="A73" s="252" t="s">
        <v>348</v>
      </c>
      <c r="B73" s="253"/>
      <c r="C73" s="26"/>
    </row>
    <row r="74" spans="1:3" x14ac:dyDescent="0.25">
      <c r="A74" s="256" t="s">
        <v>349</v>
      </c>
      <c r="B74" s="257"/>
      <c r="C74" s="26"/>
    </row>
    <row r="75" spans="1:3" x14ac:dyDescent="0.25">
      <c r="A75" s="258" t="s">
        <v>350</v>
      </c>
      <c r="B75" s="258"/>
      <c r="C75" s="26"/>
    </row>
    <row r="76" spans="1:3" ht="30" customHeight="1" x14ac:dyDescent="0.25">
      <c r="A76" s="252" t="s">
        <v>351</v>
      </c>
      <c r="B76" s="253"/>
      <c r="C76" s="26"/>
    </row>
    <row r="77" spans="1:3" ht="36" customHeight="1" x14ac:dyDescent="0.25">
      <c r="A77" s="252" t="s">
        <v>352</v>
      </c>
      <c r="B77" s="253"/>
      <c r="C77" s="26"/>
    </row>
    <row r="78" spans="1:3" x14ac:dyDescent="0.25">
      <c r="A78" s="252" t="s">
        <v>360</v>
      </c>
      <c r="B78" s="253"/>
      <c r="C78" s="26"/>
    </row>
    <row r="79" spans="1:3" x14ac:dyDescent="0.25">
      <c r="A79" s="252" t="s">
        <v>353</v>
      </c>
      <c r="B79" s="253"/>
      <c r="C79" s="26"/>
    </row>
    <row r="80" spans="1:3" x14ac:dyDescent="0.25">
      <c r="A80" s="252" t="s">
        <v>361</v>
      </c>
      <c r="B80" s="253"/>
      <c r="C80" s="26"/>
    </row>
  </sheetData>
  <mergeCells count="27">
    <mergeCell ref="A79:B79"/>
    <mergeCell ref="A80:B80"/>
    <mergeCell ref="A72:B72"/>
    <mergeCell ref="A73:B73"/>
    <mergeCell ref="A74:B74"/>
    <mergeCell ref="A75:B75"/>
    <mergeCell ref="A76:B76"/>
    <mergeCell ref="A78:B78"/>
    <mergeCell ref="A68:B68"/>
    <mergeCell ref="A69:B69"/>
    <mergeCell ref="A70:B70"/>
    <mergeCell ref="A71:B71"/>
    <mergeCell ref="A77:B77"/>
    <mergeCell ref="A67:B67"/>
    <mergeCell ref="B4:C4"/>
    <mergeCell ref="B5:C5"/>
    <mergeCell ref="B1:C1"/>
    <mergeCell ref="B2:C2"/>
    <mergeCell ref="A66:B66"/>
    <mergeCell ref="A39:C39"/>
    <mergeCell ref="A61:C61"/>
    <mergeCell ref="A6:C6"/>
    <mergeCell ref="B3:C3"/>
    <mergeCell ref="A62:B62"/>
    <mergeCell ref="A63:B63"/>
    <mergeCell ref="A65:B65"/>
    <mergeCell ref="A64:B64"/>
  </mergeCells>
  <dataValidations count="2">
    <dataValidation type="list" allowBlank="1" showInputMessage="1" showErrorMessage="1" sqref="B9:C9" xr:uid="{00000000-0002-0000-0100-000000000000}">
      <formula1>#REF!</formula1>
    </dataValidation>
    <dataValidation type="decimal" allowBlank="1" showInputMessage="1" showErrorMessage="1" sqref="C63" xr:uid="{00000000-0002-0000-0100-000001000000}">
      <formula1>1</formula1>
      <formula2>5</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100-000002000000}">
          <x14:formula1>
            <xm:f>Lookup!$A$2:$A$5</xm:f>
          </x14:formula1>
          <xm:sqref>B5</xm:sqref>
        </x14:dataValidation>
        <x14:dataValidation type="list" allowBlank="1" showInputMessage="1" showErrorMessage="1" xr:uid="{00000000-0002-0000-0100-000003000000}">
          <x14:formula1>
            <xm:f>Lookup!$A$8:$A$13</xm:f>
          </x14:formula1>
          <xm:sqref>C64:C65</xm:sqref>
        </x14:dataValidation>
        <x14:dataValidation type="list" allowBlank="1" showInputMessage="1" showErrorMessage="1" xr:uid="{00000000-0002-0000-0100-000004000000}">
          <x14:formula1>
            <xm:f>Definitions!$B$24:$B$28</xm:f>
          </x14:formula1>
          <xm:sqref>C66</xm:sqref>
        </x14:dataValidation>
        <x14:dataValidation type="list" allowBlank="1" showInputMessage="1" showErrorMessage="1" xr:uid="{00000000-0002-0000-0100-000005000000}">
          <x14:formula1>
            <xm:f>Lookup!$A$30:$A$32</xm:f>
          </x14:formula1>
          <xm:sqref>C79 C67:C71 C73:C77</xm:sqref>
        </x14:dataValidation>
        <x14:dataValidation type="list" allowBlank="1" showInputMessage="1" showErrorMessage="1" xr:uid="{00000000-0002-0000-0100-000006000000}">
          <x14:formula1>
            <xm:f>Definitions!$B$30:$B$34</xm:f>
          </x14:formula1>
          <xm:sqref>C78</xm:sqref>
        </x14:dataValidation>
        <x14:dataValidation type="list" allowBlank="1" showInputMessage="1" showErrorMessage="1" xr:uid="{00000000-0002-0000-0100-000007000000}">
          <x14:formula1>
            <xm:f>Lookup!$A$30:$A$31</xm:f>
          </x14:formula1>
          <xm:sqref>D40:D59</xm:sqref>
        </x14:dataValidation>
        <x14:dataValidation type="list" allowBlank="1" showInputMessage="1" showErrorMessage="1" xr:uid="{00000000-0002-0000-0100-000008000000}">
          <x14:formula1>
            <xm:f>Definitions!$B$36:$B$39</xm:f>
          </x14:formula1>
          <xm:sqref>C80</xm:sqref>
        </x14:dataValidation>
        <x14:dataValidation type="list" allowBlank="1" showInputMessage="1" showErrorMessage="1" xr:uid="{853ACA1F-E92D-496B-BDF5-0AA3462965A1}">
          <x14:formula1>
            <xm:f>Definitions!$B$41:$B$45</xm:f>
          </x14:formula1>
          <xm:sqref>C72</xm:sqref>
        </x14:dataValidation>
        <x14:dataValidation type="list" allowBlank="1" showInputMessage="1" showErrorMessage="1" xr:uid="{51F17CB0-F4E8-4A90-8307-639B3BAB0F30}">
          <x14:formula1>
            <xm:f>Definitions!$B$47:$B$51</xm:f>
          </x14:formula1>
          <xm:sqref>C62</xm:sqref>
        </x14:dataValidation>
        <x14:dataValidation type="date" operator="greaterThan" allowBlank="1" showInputMessage="1" showErrorMessage="1" xr:uid="{00000000-0002-0000-0100-000009000000}">
          <x14:formula1>
            <xm:f>Lookup!A35</xm:f>
          </x14:formula1>
          <xm:sqref>B1:C1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3"/>
  <sheetViews>
    <sheetView zoomScale="80" zoomScaleNormal="80" workbookViewId="0">
      <selection activeCell="A6" sqref="A6"/>
    </sheetView>
  </sheetViews>
  <sheetFormatPr defaultRowHeight="15" x14ac:dyDescent="0.25"/>
  <cols>
    <col min="1" max="1" width="41.28515625" style="1" bestFit="1" customWidth="1"/>
    <col min="2" max="3" width="18.7109375" style="2" customWidth="1"/>
    <col min="4" max="4" width="18.28515625" style="1" customWidth="1"/>
    <col min="5" max="5" width="18.7109375" style="1" customWidth="1"/>
    <col min="6" max="27" width="9.140625" style="1"/>
  </cols>
  <sheetData>
    <row r="1" spans="1:27" ht="15.75" x14ac:dyDescent="0.25">
      <c r="A1" s="30" t="s">
        <v>269</v>
      </c>
      <c r="B1" s="33" t="s">
        <v>270</v>
      </c>
      <c r="C1" s="22"/>
      <c r="D1" s="34" t="s">
        <v>271</v>
      </c>
      <c r="AA1"/>
    </row>
    <row r="2" spans="1:27" x14ac:dyDescent="0.25">
      <c r="A2" s="147" t="s">
        <v>384</v>
      </c>
      <c r="B2" s="190">
        <f>IF('Data Input Sheet'!C10="NA","NA",IF('Data Input Sheet'!B10="NA",'Data Input Sheet'!C10,IF('Data Input Sheet'!C10&gt;'Data Input Sheet'!B10,(0.6*'Data Input Sheet'!C10+0.4*'Data Input Sheet'!B10),(0.9*'Data Input Sheet'!C10+0.1*'Data Input Sheet'!B10))))</f>
        <v>0</v>
      </c>
      <c r="C2" s="1"/>
      <c r="D2" s="28">
        <f>IF('Data Input Sheet'!C10="NA","NA",'Data Input Sheet'!C10)</f>
        <v>0</v>
      </c>
      <c r="Z2"/>
      <c r="AA2"/>
    </row>
    <row r="3" spans="1:27" x14ac:dyDescent="0.25">
      <c r="A3" s="147" t="s">
        <v>104</v>
      </c>
      <c r="B3" s="190">
        <f>IF('Data Input Sheet'!C11="NA","NA",IF('Data Input Sheet'!B11="NA",'Data Input Sheet'!C11,IF('Data Input Sheet'!C11&gt;'Data Input Sheet'!B11,(0.6*'Data Input Sheet'!C11+0.4*'Data Input Sheet'!B11),(0.9*'Data Input Sheet'!C11+0.1*'Data Input Sheet'!B11))))</f>
        <v>0</v>
      </c>
      <c r="C3" s="1"/>
      <c r="D3" s="28">
        <f>IF('Data Input Sheet'!C11="NA","NA",'Data Input Sheet'!C11)</f>
        <v>0</v>
      </c>
      <c r="Z3"/>
      <c r="AA3"/>
    </row>
    <row r="4" spans="1:27" x14ac:dyDescent="0.25">
      <c r="A4" s="147" t="s">
        <v>406</v>
      </c>
      <c r="B4" s="171">
        <f>IF('Data Input Sheet'!C12="NA","NA",IF('Data Input Sheet'!B12="NA",'Data Input Sheet'!C12,IF(AND('Data Input Sheet'!C12&gt;=45%,'Data Input Sheet'!C12&lt;=95%),(0.6*'Data Input Sheet'!C12+0.4*'Data Input Sheet'!B12),(0.9*'Data Input Sheet'!C12+0.1*'Data Input Sheet'!B12))))</f>
        <v>0</v>
      </c>
      <c r="C4" s="1"/>
      <c r="D4" s="29">
        <f>IF('Data Input Sheet'!C12="NA","NA",'Data Input Sheet'!C12)</f>
        <v>0</v>
      </c>
      <c r="Z4"/>
      <c r="AA4"/>
    </row>
    <row r="5" spans="1:27" x14ac:dyDescent="0.25">
      <c r="A5" s="147" t="s">
        <v>407</v>
      </c>
      <c r="B5" s="171">
        <f>IF('Data Input Sheet'!C13="NA","NA",IF('Data Input Sheet'!B13="NA",'Data Input Sheet'!C13,IF('Data Input Sheet'!C13&gt;'Data Input Sheet'!B13,(0.6*'Data Input Sheet'!C13+0.4*'Data Input Sheet'!B13),(0.9*'Data Input Sheet'!C13+0.1*'Data Input Sheet'!B13))))</f>
        <v>0</v>
      </c>
      <c r="C5" s="1"/>
      <c r="D5" s="29">
        <f>IF('Data Input Sheet'!C13="NA","NA",'Data Input Sheet'!C13)</f>
        <v>0</v>
      </c>
      <c r="Z5"/>
      <c r="AA5"/>
    </row>
    <row r="6" spans="1:27" x14ac:dyDescent="0.25">
      <c r="A6" s="147" t="s">
        <v>439</v>
      </c>
      <c r="B6" s="171">
        <f>IF('Data Input Sheet'!C14="NA","NA",IF('Data Input Sheet'!B14="NA",'Data Input Sheet'!C14,IF('Data Input Sheet'!C14&gt;'Data Input Sheet'!B14,(0.6*'Data Input Sheet'!C14+0.4*'Data Input Sheet'!B14),(0.9*'Data Input Sheet'!C14+0.1*'Data Input Sheet'!B14))))</f>
        <v>0</v>
      </c>
      <c r="C6" s="1"/>
      <c r="D6" s="29">
        <f>IF('Data Input Sheet'!C14="NA","NA",'Data Input Sheet'!C14)</f>
        <v>0</v>
      </c>
      <c r="Z6"/>
      <c r="AA6"/>
    </row>
    <row r="7" spans="1:27" x14ac:dyDescent="0.25">
      <c r="A7" s="147" t="s">
        <v>183</v>
      </c>
      <c r="B7" s="171">
        <f>IF('Data Input Sheet'!C15="NA","NA",IF('Data Input Sheet'!B15="NA",'Data Input Sheet'!C15,IF('Data Input Sheet'!C15&gt;'Data Input Sheet'!B15,(0.6*'Data Input Sheet'!C15+0.4*'Data Input Sheet'!B15),(0.9*'Data Input Sheet'!C15+0.1*'Data Input Sheet'!B15))))</f>
        <v>0</v>
      </c>
      <c r="C7" s="1"/>
      <c r="D7" s="29">
        <f>IF('Data Input Sheet'!C15="NA","NA",'Data Input Sheet'!C15)</f>
        <v>0</v>
      </c>
      <c r="Z7"/>
      <c r="AA7"/>
    </row>
    <row r="8" spans="1:27" x14ac:dyDescent="0.25">
      <c r="A8" s="147" t="s">
        <v>398</v>
      </c>
      <c r="B8" s="171">
        <f>IF('Data Input Sheet'!C16="NA","NA",IF('Data Input Sheet'!B16="NA",'Data Input Sheet'!C16,IF('Data Input Sheet'!C16&gt;'Data Input Sheet'!B16,(0.6*'Data Input Sheet'!C16+0.4*'Data Input Sheet'!B16),(0.9*'Data Input Sheet'!C16+0.1*'Data Input Sheet'!B16))))</f>
        <v>0</v>
      </c>
      <c r="C8" s="1"/>
      <c r="D8" s="29">
        <f>IF('Data Input Sheet'!C16="NA","NA",'Data Input Sheet'!C16)</f>
        <v>0</v>
      </c>
      <c r="Z8"/>
      <c r="AA8"/>
    </row>
    <row r="9" spans="1:27" x14ac:dyDescent="0.25">
      <c r="A9" s="147" t="s">
        <v>408</v>
      </c>
      <c r="B9" s="171">
        <f>IF('Data Input Sheet'!C17="NA","NA",IF('Data Input Sheet'!B17="NA",'Data Input Sheet'!C17,IF('Data Input Sheet'!C17&lt;'Data Input Sheet'!B17,(0.6*'Data Input Sheet'!C17+0.4*'Data Input Sheet'!B17),(0.9*'Data Input Sheet'!C17+0.1*'Data Input Sheet'!B17))))</f>
        <v>0</v>
      </c>
      <c r="C9" s="1"/>
      <c r="D9" s="29">
        <f>IF('Data Input Sheet'!C17="NA","NA",'Data Input Sheet'!C17)</f>
        <v>0</v>
      </c>
      <c r="Z9"/>
      <c r="AA9"/>
    </row>
    <row r="10" spans="1:27" x14ac:dyDescent="0.25">
      <c r="A10" s="147" t="s">
        <v>233</v>
      </c>
      <c r="B10" s="171">
        <f>IF('Data Input Sheet'!C18="NA","NA",IF('Data Input Sheet'!B18="NA",'Data Input Sheet'!C18,IF('Data Input Sheet'!C18&gt;'Data Input Sheet'!B18,(0.6*'Data Input Sheet'!C18+0.4*'Data Input Sheet'!B18),(0.9*'Data Input Sheet'!C18+0.1*'Data Input Sheet'!B18))))</f>
        <v>0</v>
      </c>
      <c r="C10" s="1"/>
      <c r="D10" s="29">
        <f>IF('Data Input Sheet'!C18="NA","NA",'Data Input Sheet'!C18)</f>
        <v>0</v>
      </c>
      <c r="Z10"/>
      <c r="AA10"/>
    </row>
    <row r="11" spans="1:27" x14ac:dyDescent="0.25">
      <c r="A11" s="147" t="s">
        <v>341</v>
      </c>
      <c r="B11" s="171">
        <f>IF('Data Input Sheet'!C19="NA","NA",IF('Data Input Sheet'!B19="NA",'Data Input Sheet'!C19,IF('Data Input Sheet'!C19&gt;'Data Input Sheet'!B19,(0.6*'Data Input Sheet'!C19+0.4*'Data Input Sheet'!B19),(0.9*'Data Input Sheet'!C19+0.1*'Data Input Sheet'!B19))))</f>
        <v>0</v>
      </c>
      <c r="C11" s="1"/>
      <c r="D11" s="29">
        <f>IF('Data Input Sheet'!C19="NA","NA",'Data Input Sheet'!C19)</f>
        <v>0</v>
      </c>
      <c r="Z11"/>
      <c r="AA11"/>
    </row>
    <row r="12" spans="1:27" x14ac:dyDescent="0.25">
      <c r="A12" s="147" t="s">
        <v>304</v>
      </c>
      <c r="B12" s="171">
        <f>IF('Data Input Sheet'!C20="NA","NA",IF('Data Input Sheet'!B20="NA",'Data Input Sheet'!C20,IF('Data Input Sheet'!C20&gt;'Data Input Sheet'!B20,(0.6*'Data Input Sheet'!C20+0.4*'Data Input Sheet'!B20),(0.9*'Data Input Sheet'!C20+0.1*'Data Input Sheet'!B20))))</f>
        <v>0</v>
      </c>
      <c r="C12" s="1"/>
      <c r="D12" s="29">
        <f>IF('Data Input Sheet'!C20="NA","NA",'Data Input Sheet'!C20)</f>
        <v>0</v>
      </c>
      <c r="Z12"/>
      <c r="AA12"/>
    </row>
    <row r="13" spans="1:27" x14ac:dyDescent="0.25">
      <c r="A13" s="147" t="s">
        <v>234</v>
      </c>
      <c r="B13" s="171">
        <f>IF('Data Input Sheet'!C21="NA","NA",IF('Data Input Sheet'!B21="NA",'Data Input Sheet'!C21,IF('Data Input Sheet'!C21&lt;'Data Input Sheet'!B21,(0.6*'Data Input Sheet'!C21+0.4*'Data Input Sheet'!B21),(0.9*'Data Input Sheet'!C21+0.1*'Data Input Sheet'!B21))))</f>
        <v>0</v>
      </c>
      <c r="C13" s="1"/>
      <c r="D13" s="29">
        <f>IF('Data Input Sheet'!C21="NA","NA",'Data Input Sheet'!C21)</f>
        <v>0</v>
      </c>
      <c r="Z13"/>
      <c r="AA13"/>
    </row>
    <row r="14" spans="1:27" x14ac:dyDescent="0.25">
      <c r="A14" s="147" t="s">
        <v>409</v>
      </c>
      <c r="B14" s="171">
        <f>IF('Data Input Sheet'!C22="NA","NA",IF('Data Input Sheet'!B22="NA",'Data Input Sheet'!C22,IF('Data Input Sheet'!C22&gt;'Data Input Sheet'!B22,(0.6*'Data Input Sheet'!C22+0.4*'Data Input Sheet'!B22),(0.9*'Data Input Sheet'!C22+0.1*'Data Input Sheet'!B22))))</f>
        <v>0</v>
      </c>
      <c r="C14" s="1"/>
      <c r="D14" s="29">
        <f>IF('Data Input Sheet'!C22="NA","NA",'Data Input Sheet'!C22)</f>
        <v>0</v>
      </c>
      <c r="Z14"/>
      <c r="AA14"/>
    </row>
    <row r="15" spans="1:27" x14ac:dyDescent="0.25">
      <c r="A15" s="147" t="s">
        <v>182</v>
      </c>
      <c r="B15" s="191">
        <f>IF('Data Input Sheet'!C23="NA","NA",IF('Data Input Sheet'!B23="NA",'Data Input Sheet'!C23,IF('Data Input Sheet'!C23&gt;'Data Input Sheet'!B23,(0.6*'Data Input Sheet'!C23+0.4*'Data Input Sheet'!B23),(0.9*'Data Input Sheet'!C23+0.1*'Data Input Sheet'!B23))))</f>
        <v>0</v>
      </c>
      <c r="C15" s="1"/>
      <c r="D15" s="28">
        <f>IF('Data Input Sheet'!C23="NA","NA",'Data Input Sheet'!C23)</f>
        <v>0</v>
      </c>
      <c r="Z15"/>
      <c r="AA15"/>
    </row>
    <row r="16" spans="1:27" x14ac:dyDescent="0.25">
      <c r="A16" s="147" t="s">
        <v>208</v>
      </c>
      <c r="B16" s="171">
        <f>IF('Data Input Sheet'!C24="NA","NA",IF('Data Input Sheet'!B24="NA",'Data Input Sheet'!C24,IF('Data Input Sheet'!C24&lt;'Data Input Sheet'!B24,(0.6*'Data Input Sheet'!C24+0.4*'Data Input Sheet'!B24),(0.9*'Data Input Sheet'!C24+0.1*'Data Input Sheet'!B24))))</f>
        <v>0</v>
      </c>
      <c r="C16" s="1"/>
      <c r="D16" s="29">
        <f>IF('Data Input Sheet'!C24="NA","NA",'Data Input Sheet'!C24)</f>
        <v>0</v>
      </c>
      <c r="Z16"/>
      <c r="AA16"/>
    </row>
    <row r="17" spans="1:27" x14ac:dyDescent="0.25">
      <c r="A17" s="147" t="s">
        <v>425</v>
      </c>
      <c r="B17" s="171">
        <f>IF('Data Input Sheet'!C25="NA","NA",IF('Data Input Sheet'!B25="NA",'Data Input Sheet'!C25,IF('Data Input Sheet'!C25&lt;'Data Input Sheet'!B25,(0.6*'Data Input Sheet'!C25+0.4*'Data Input Sheet'!B25),(0.9*'Data Input Sheet'!C25+0.1*'Data Input Sheet'!B25))))</f>
        <v>0</v>
      </c>
      <c r="C17" s="1"/>
      <c r="D17" s="29">
        <f>IF('Data Input Sheet'!C25="NA","NA",'Data Input Sheet'!C25)</f>
        <v>0</v>
      </c>
      <c r="Z17"/>
      <c r="AA17"/>
    </row>
    <row r="18" spans="1:27" x14ac:dyDescent="0.25">
      <c r="A18" s="147" t="s">
        <v>426</v>
      </c>
      <c r="B18" s="171">
        <f>IF('Data Input Sheet'!C26="NA","NA",IF('Data Input Sheet'!B26="NA",'Data Input Sheet'!C26,IF('Data Input Sheet'!C26&gt;'Data Input Sheet'!B26,(0.6*'Data Input Sheet'!C26+0.4*'Data Input Sheet'!B26),(0.9*'Data Input Sheet'!C26+0.1*'Data Input Sheet'!B26))))</f>
        <v>0</v>
      </c>
      <c r="C18" s="1"/>
      <c r="D18" s="29">
        <f>IF('Data Input Sheet'!C26="NA","NA",'Data Input Sheet'!C26)</f>
        <v>0</v>
      </c>
      <c r="F18" s="175"/>
      <c r="Z18"/>
      <c r="AA18"/>
    </row>
    <row r="19" spans="1:27" x14ac:dyDescent="0.25">
      <c r="A19" s="147" t="s">
        <v>423</v>
      </c>
      <c r="B19" s="176">
        <f>IF('Data Input Sheet'!C27="NA","NA",IF('Data Input Sheet'!B27="NA",'Data Input Sheet'!C27,IF('Data Input Sheet'!C27&gt;'Data Input Sheet'!B27,(0.6*'Data Input Sheet'!C27+0.4*'Data Input Sheet'!B27),(0.9*'Data Input Sheet'!C27+0.1*'Data Input Sheet'!B27))))</f>
        <v>0</v>
      </c>
      <c r="C19" s="1"/>
      <c r="D19" s="129">
        <f>IF('Data Input Sheet'!C27="NA","NA",'Data Input Sheet'!C27)</f>
        <v>0</v>
      </c>
      <c r="Z19"/>
      <c r="AA19"/>
    </row>
    <row r="20" spans="1:27" x14ac:dyDescent="0.25">
      <c r="A20" s="147" t="s">
        <v>410</v>
      </c>
      <c r="B20" s="171">
        <f>IF('Data Input Sheet'!C28="NA","NA",IF('Data Input Sheet'!B28="NA",'Data Input Sheet'!C28,IF('Data Input Sheet'!C28&lt;'Data Input Sheet'!B28,(0.6*'Data Input Sheet'!C28+0.4*'Data Input Sheet'!B28),(0.9*'Data Input Sheet'!C28+0.1*'Data Input Sheet'!B28))))</f>
        <v>0</v>
      </c>
      <c r="C20" s="1"/>
      <c r="D20" s="29">
        <f>IF('Data Input Sheet'!C28="NA","NA",'Data Input Sheet'!C28)</f>
        <v>0</v>
      </c>
      <c r="Z20"/>
      <c r="AA20"/>
    </row>
    <row r="21" spans="1:27" x14ac:dyDescent="0.25">
      <c r="A21" s="147" t="s">
        <v>437</v>
      </c>
      <c r="B21" s="171">
        <f>IF('Data Input Sheet'!C29="NA","NA",IF('Data Input Sheet'!B29="NA",'Data Input Sheet'!C29,IF('Data Input Sheet'!C29&lt;'Data Input Sheet'!B29,(0.6*'Data Input Sheet'!C29+0.4*'Data Input Sheet'!B29),(0.9*'Data Input Sheet'!C29+0.1*'Data Input Sheet'!B29))))</f>
        <v>0</v>
      </c>
      <c r="C21" s="1"/>
      <c r="D21" s="29">
        <f>IF('Data Input Sheet'!C29="NA","NA",'Data Input Sheet'!C29)</f>
        <v>0</v>
      </c>
      <c r="Z21"/>
      <c r="AA21"/>
    </row>
    <row r="22" spans="1:27" x14ac:dyDescent="0.25">
      <c r="A22" s="147" t="s">
        <v>411</v>
      </c>
      <c r="B22" s="171">
        <f>IF('Data Input Sheet'!C30="NA","NA",IF('Data Input Sheet'!B30="NA",'Data Input Sheet'!C30,IF('Data Input Sheet'!C30&lt;'Data Input Sheet'!B30,(0.6*'Data Input Sheet'!C30+0.4*'Data Input Sheet'!B30),(0.9*'Data Input Sheet'!C30+0.1*'Data Input Sheet'!B30))))</f>
        <v>0</v>
      </c>
      <c r="C22" s="1"/>
      <c r="D22" s="29">
        <f>IF('Data Input Sheet'!C30="NA","NA",'Data Input Sheet'!C30)</f>
        <v>0</v>
      </c>
      <c r="Z22"/>
      <c r="AA22"/>
    </row>
    <row r="23" spans="1:27" x14ac:dyDescent="0.25">
      <c r="A23" s="147" t="s">
        <v>412</v>
      </c>
      <c r="B23" s="171">
        <f>IF('Data Input Sheet'!C31="NA","NA",IF('Data Input Sheet'!B31="NA",'Data Input Sheet'!C31,IF('Data Input Sheet'!C31&lt;'Data Input Sheet'!B31,(0.6*'Data Input Sheet'!C31+0.4*'Data Input Sheet'!B31),(0.9*'Data Input Sheet'!C31+0.1*'Data Input Sheet'!B31))))</f>
        <v>0</v>
      </c>
      <c r="C23" s="1"/>
      <c r="D23" s="29">
        <f>IF('Data Input Sheet'!C31="NA","NA",'Data Input Sheet'!C31)</f>
        <v>0</v>
      </c>
      <c r="Z23"/>
      <c r="AA23"/>
    </row>
    <row r="24" spans="1:27" x14ac:dyDescent="0.25">
      <c r="A24" s="147" t="s">
        <v>424</v>
      </c>
      <c r="B24" s="176">
        <f>IF('Data Input Sheet'!C32="NA","NA",IF('Data Input Sheet'!B32="NA",'Data Input Sheet'!C32,IF('Data Input Sheet'!C32&gt;'Data Input Sheet'!B32,(0.6*'Data Input Sheet'!C32+0.4*'Data Input Sheet'!B32),(0.9*'Data Input Sheet'!C32+0.1*'Data Input Sheet'!B32))))</f>
        <v>0</v>
      </c>
      <c r="C24" s="1"/>
      <c r="D24" s="129">
        <f>IF('Data Input Sheet'!C32="NA","NA",'Data Input Sheet'!C32)</f>
        <v>0</v>
      </c>
      <c r="Z24"/>
      <c r="AA24"/>
    </row>
    <row r="25" spans="1:27" x14ac:dyDescent="0.25">
      <c r="A25" s="147" t="s">
        <v>427</v>
      </c>
      <c r="B25" s="171">
        <f>IF('Data Input Sheet'!C33="NA","NA",IF('Data Input Sheet'!B33="NA",'Data Input Sheet'!C33,IF('Data Input Sheet'!C33&gt;'Data Input Sheet'!B33,(0.6*'Data Input Sheet'!C33+0.4*'Data Input Sheet'!B33),(0.9*'Data Input Sheet'!C33+0.1*'Data Input Sheet'!B33))))</f>
        <v>0</v>
      </c>
      <c r="C25" s="1"/>
      <c r="D25" s="29">
        <f>IF('Data Input Sheet'!C33="NA","NA",'Data Input Sheet'!C33)</f>
        <v>0</v>
      </c>
      <c r="Z25"/>
      <c r="AA25"/>
    </row>
    <row r="26" spans="1:27" x14ac:dyDescent="0.25">
      <c r="A26" s="147" t="s">
        <v>240</v>
      </c>
      <c r="B26" s="171">
        <f>IF('Data Input Sheet'!C34="NA","NA",IF('Data Input Sheet'!B34="NA",'Data Input Sheet'!C34,IF('Data Input Sheet'!C34&lt;'Data Input Sheet'!B34,(0.6*'Data Input Sheet'!C34+0.4*'Data Input Sheet'!B34),(0.9*'Data Input Sheet'!C34+0.1*'Data Input Sheet'!B34))))</f>
        <v>0</v>
      </c>
      <c r="C26" s="1"/>
      <c r="D26" s="29">
        <f>IF('Data Input Sheet'!C34="NA","NA",'Data Input Sheet'!C34)</f>
        <v>0</v>
      </c>
      <c r="Z26"/>
      <c r="AA26"/>
    </row>
    <row r="27" spans="1:27" x14ac:dyDescent="0.25">
      <c r="A27" s="147" t="s">
        <v>414</v>
      </c>
      <c r="B27" s="171">
        <f>IF('Data Input Sheet'!C35="NA","NA",IF('Data Input Sheet'!B35="NA",'Data Input Sheet'!C35,IF('Data Input Sheet'!C35&gt;'Data Input Sheet'!B35,(0.6*'Data Input Sheet'!C35+0.4*'Data Input Sheet'!B35),(0.9*'Data Input Sheet'!C35+0.1*'Data Input Sheet'!B35))))</f>
        <v>0</v>
      </c>
      <c r="C27" s="1"/>
      <c r="D27" s="29">
        <f>IF('Data Input Sheet'!C35="NA","NA",'Data Input Sheet'!C35)</f>
        <v>0</v>
      </c>
      <c r="Z27"/>
      <c r="AA27"/>
    </row>
    <row r="28" spans="1:27" x14ac:dyDescent="0.25">
      <c r="A28" s="147" t="s">
        <v>415</v>
      </c>
      <c r="B28" s="171">
        <f>IF('Data Input Sheet'!C36="NA","NA",IF('Data Input Sheet'!B36="NA",'Data Input Sheet'!C36,IF('Data Input Sheet'!C36&lt;'Data Input Sheet'!B36,(0.6*'Data Input Sheet'!C36+0.4*'Data Input Sheet'!B36),(0.9*'Data Input Sheet'!C36+0.1*'Data Input Sheet'!B36))))</f>
        <v>0</v>
      </c>
      <c r="C28" s="172"/>
      <c r="D28" s="171">
        <f>IF('Data Input Sheet'!C36="NA","NA",'Data Input Sheet'!C36)</f>
        <v>0</v>
      </c>
      <c r="Z28"/>
      <c r="AA28"/>
    </row>
    <row r="29" spans="1:27" x14ac:dyDescent="0.25">
      <c r="A29" s="147" t="s">
        <v>428</v>
      </c>
      <c r="B29" s="171">
        <f>IF('Data Input Sheet'!C37="NA","NA",IF('Data Input Sheet'!B37="NA",'Data Input Sheet'!C37,IF(AND('Data Input Sheet'!C37&gt;=3.5%,'Data Input Sheet'!C37&lt;=11%),(0.6*'Data Input Sheet'!C37+0.4*'Data Input Sheet'!B37),(0.9*'Data Input Sheet'!C37+0.1*'Data Input Sheet'!B37))))</f>
        <v>0</v>
      </c>
      <c r="C29" s="172"/>
      <c r="D29" s="171">
        <f>IF('Data Input Sheet'!C37="NA","NA",'Data Input Sheet'!C37)</f>
        <v>0</v>
      </c>
      <c r="Z29"/>
      <c r="AA29"/>
    </row>
    <row r="30" spans="1:27" x14ac:dyDescent="0.25">
      <c r="A30" s="147" t="s">
        <v>429</v>
      </c>
      <c r="B30" s="192">
        <f>IF('Data Input Sheet'!C38="NA","NA",IF('Data Input Sheet'!B38="NA",'Data Input Sheet'!C38,IF('Data Input Sheet'!C38&gt;'Data Input Sheet'!B38,(0.6*'Data Input Sheet'!C38+0.4*'Data Input Sheet'!B38),(0.9*'Data Input Sheet'!C38+0.1*'Data Input Sheet'!B38))))</f>
        <v>0</v>
      </c>
      <c r="C30" s="1"/>
      <c r="D30" s="184">
        <f>IF('Data Input Sheet'!C38="NA","NA",'Data Input Sheet'!C38)</f>
        <v>0</v>
      </c>
      <c r="Z30"/>
      <c r="AA30"/>
    </row>
    <row r="31" spans="1:27" x14ac:dyDescent="0.25">
      <c r="A31" s="259" t="s">
        <v>241</v>
      </c>
      <c r="B31" s="246"/>
      <c r="C31" s="1"/>
      <c r="AA31"/>
    </row>
    <row r="32" spans="1:27" x14ac:dyDescent="0.25">
      <c r="A32" s="4" t="s">
        <v>248</v>
      </c>
      <c r="B32" s="29">
        <f>IF('Data Input Sheet'!C40="NA",0,'Data Input Sheet'!C40)</f>
        <v>0</v>
      </c>
      <c r="C32" s="1"/>
      <c r="D32" s="35">
        <f>IF('Data Input Sheet'!C40="NA",0,'Data Input Sheet'!C40)</f>
        <v>0</v>
      </c>
      <c r="AA32"/>
    </row>
    <row r="33" spans="1:27" x14ac:dyDescent="0.25">
      <c r="A33" s="4" t="s">
        <v>249</v>
      </c>
      <c r="B33" s="29">
        <f>IF('Data Input Sheet'!C41="NA",0,'Data Input Sheet'!C41)</f>
        <v>0</v>
      </c>
      <c r="C33" s="1"/>
      <c r="D33" s="35">
        <f>IF('Data Input Sheet'!C41="NA",0,'Data Input Sheet'!C41)</f>
        <v>0</v>
      </c>
      <c r="AA33"/>
    </row>
    <row r="34" spans="1:27" x14ac:dyDescent="0.25">
      <c r="A34" s="4" t="s">
        <v>250</v>
      </c>
      <c r="B34" s="29">
        <f>IF('Data Input Sheet'!C42="NA",0,'Data Input Sheet'!C42)</f>
        <v>0</v>
      </c>
      <c r="C34" s="1"/>
      <c r="D34" s="35">
        <f>IF('Data Input Sheet'!C42="NA",0,'Data Input Sheet'!C42)</f>
        <v>0</v>
      </c>
      <c r="AA34"/>
    </row>
    <row r="35" spans="1:27" x14ac:dyDescent="0.25">
      <c r="A35" s="4" t="s">
        <v>251</v>
      </c>
      <c r="B35" s="29">
        <f>IF('Data Input Sheet'!C43="NA",0,'Data Input Sheet'!C43)</f>
        <v>0</v>
      </c>
      <c r="C35" s="1"/>
      <c r="D35" s="35">
        <f>IF('Data Input Sheet'!C43="NA",0,'Data Input Sheet'!C43)</f>
        <v>0</v>
      </c>
    </row>
    <row r="36" spans="1:27" x14ac:dyDescent="0.25">
      <c r="A36" s="4" t="s">
        <v>252</v>
      </c>
      <c r="B36" s="29">
        <f>IF('Data Input Sheet'!C44="NA",0,'Data Input Sheet'!C44)</f>
        <v>0</v>
      </c>
      <c r="C36" s="1"/>
      <c r="D36" s="35">
        <f>IF('Data Input Sheet'!C44="NA",0,'Data Input Sheet'!C44)</f>
        <v>0</v>
      </c>
    </row>
    <row r="37" spans="1:27" x14ac:dyDescent="0.25">
      <c r="A37" s="4" t="s">
        <v>253</v>
      </c>
      <c r="B37" s="29">
        <f>IF('Data Input Sheet'!C45="NA",0,'Data Input Sheet'!C45)</f>
        <v>0</v>
      </c>
      <c r="C37" s="1"/>
      <c r="D37" s="35">
        <f>IF('Data Input Sheet'!C45="NA",0,'Data Input Sheet'!C45)</f>
        <v>0</v>
      </c>
    </row>
    <row r="38" spans="1:27" x14ac:dyDescent="0.25">
      <c r="A38" s="4" t="s">
        <v>254</v>
      </c>
      <c r="B38" s="29">
        <f>IF('Data Input Sheet'!C46="NA",0,'Data Input Sheet'!C46)</f>
        <v>0</v>
      </c>
      <c r="C38" s="1"/>
      <c r="D38" s="35">
        <f>IF('Data Input Sheet'!C46="NA",0,'Data Input Sheet'!C46)</f>
        <v>0</v>
      </c>
    </row>
    <row r="39" spans="1:27" x14ac:dyDescent="0.25">
      <c r="A39" s="4" t="s">
        <v>255</v>
      </c>
      <c r="B39" s="29">
        <f>IF('Data Input Sheet'!C47="NA",0,'Data Input Sheet'!C47)</f>
        <v>0</v>
      </c>
      <c r="C39" s="1"/>
      <c r="D39" s="35">
        <f>IF('Data Input Sheet'!C47="NA",0,'Data Input Sheet'!C47)</f>
        <v>0</v>
      </c>
    </row>
    <row r="40" spans="1:27" x14ac:dyDescent="0.25">
      <c r="A40" s="4" t="s">
        <v>256</v>
      </c>
      <c r="B40" s="29">
        <f>IF('Data Input Sheet'!C48="NA",0,'Data Input Sheet'!C48)</f>
        <v>0</v>
      </c>
      <c r="C40" s="1"/>
      <c r="D40" s="35">
        <f>IF('Data Input Sheet'!C48="NA",0,'Data Input Sheet'!C48)</f>
        <v>0</v>
      </c>
    </row>
    <row r="41" spans="1:27" x14ac:dyDescent="0.25">
      <c r="A41" s="4" t="s">
        <v>257</v>
      </c>
      <c r="B41" s="29">
        <f>IF('Data Input Sheet'!C49="NA",0,'Data Input Sheet'!C49)</f>
        <v>0</v>
      </c>
      <c r="C41" s="1"/>
      <c r="D41" s="35">
        <f>IF('Data Input Sheet'!C49="NA",0,'Data Input Sheet'!C49)</f>
        <v>0</v>
      </c>
    </row>
    <row r="42" spans="1:27" x14ac:dyDescent="0.25">
      <c r="A42" s="4" t="s">
        <v>258</v>
      </c>
      <c r="B42" s="29">
        <f>IF('Data Input Sheet'!C50="NA",0,'Data Input Sheet'!C50)</f>
        <v>0</v>
      </c>
      <c r="C42" s="1"/>
      <c r="D42" s="35">
        <f>IF('Data Input Sheet'!C50="NA",0,'Data Input Sheet'!C50)</f>
        <v>0</v>
      </c>
    </row>
    <row r="43" spans="1:27" s="1" customFormat="1" x14ac:dyDescent="0.25">
      <c r="A43" s="4" t="s">
        <v>259</v>
      </c>
      <c r="B43" s="29">
        <f>IF('Data Input Sheet'!C51="NA",0,'Data Input Sheet'!C51)</f>
        <v>0</v>
      </c>
      <c r="D43" s="35">
        <f>IF('Data Input Sheet'!C51="NA",0,'Data Input Sheet'!C51)</f>
        <v>0</v>
      </c>
    </row>
    <row r="44" spans="1:27" s="1" customFormat="1" x14ac:dyDescent="0.25">
      <c r="A44" s="4" t="s">
        <v>260</v>
      </c>
      <c r="B44" s="29">
        <f>IF('Data Input Sheet'!C52="NA",0,'Data Input Sheet'!C52)</f>
        <v>0</v>
      </c>
      <c r="D44" s="35">
        <f>IF('Data Input Sheet'!C52="NA",0,'Data Input Sheet'!C52)</f>
        <v>0</v>
      </c>
    </row>
    <row r="45" spans="1:27" s="1" customFormat="1" x14ac:dyDescent="0.25">
      <c r="A45" s="4" t="s">
        <v>261</v>
      </c>
      <c r="B45" s="29">
        <f>IF('Data Input Sheet'!C53="NA",0,'Data Input Sheet'!C53)</f>
        <v>0</v>
      </c>
      <c r="D45" s="35">
        <f>IF('Data Input Sheet'!C53="NA",0,'Data Input Sheet'!C53)</f>
        <v>0</v>
      </c>
    </row>
    <row r="46" spans="1:27" s="1" customFormat="1" x14ac:dyDescent="0.25">
      <c r="A46" s="4" t="s">
        <v>262</v>
      </c>
      <c r="B46" s="29">
        <f>IF('Data Input Sheet'!C54="NA",0,'Data Input Sheet'!C54)</f>
        <v>0</v>
      </c>
      <c r="D46" s="35">
        <f>IF('Data Input Sheet'!C54="NA",0,'Data Input Sheet'!C54)</f>
        <v>0</v>
      </c>
    </row>
    <row r="47" spans="1:27" s="1" customFormat="1" x14ac:dyDescent="0.25">
      <c r="A47" s="4" t="s">
        <v>263</v>
      </c>
      <c r="B47" s="29">
        <f>IF('Data Input Sheet'!C55="NA",0,'Data Input Sheet'!C55)</f>
        <v>0</v>
      </c>
      <c r="D47" s="35">
        <f>IF('Data Input Sheet'!C55="NA",0,'Data Input Sheet'!C55)</f>
        <v>0</v>
      </c>
    </row>
    <row r="48" spans="1:27" s="1" customFormat="1" x14ac:dyDescent="0.25">
      <c r="A48" s="4" t="s">
        <v>264</v>
      </c>
      <c r="B48" s="29">
        <f>IF('Data Input Sheet'!C56="NA",0,'Data Input Sheet'!C56)</f>
        <v>0</v>
      </c>
      <c r="D48" s="35">
        <f>IF('Data Input Sheet'!C56="NA",0,'Data Input Sheet'!C56)</f>
        <v>0</v>
      </c>
    </row>
    <row r="49" spans="1:4" s="1" customFormat="1" x14ac:dyDescent="0.25">
      <c r="A49" s="4" t="s">
        <v>265</v>
      </c>
      <c r="B49" s="29">
        <f>IF('Data Input Sheet'!C57="NA",0,'Data Input Sheet'!C57)</f>
        <v>0</v>
      </c>
      <c r="D49" s="35">
        <f>IF('Data Input Sheet'!C57="NA",0,'Data Input Sheet'!C57)</f>
        <v>0</v>
      </c>
    </row>
    <row r="50" spans="1:4" s="1" customFormat="1" x14ac:dyDescent="0.25">
      <c r="A50" s="4" t="s">
        <v>266</v>
      </c>
      <c r="B50" s="29">
        <f>IF('Data Input Sheet'!C58="NA",0,'Data Input Sheet'!C58)</f>
        <v>0</v>
      </c>
      <c r="D50" s="35">
        <f>IF('Data Input Sheet'!C58="NA",0,'Data Input Sheet'!C58)</f>
        <v>0</v>
      </c>
    </row>
    <row r="51" spans="1:4" s="1" customFormat="1" x14ac:dyDescent="0.25">
      <c r="A51" s="4" t="s">
        <v>267</v>
      </c>
      <c r="B51" s="29">
        <f>IF('Data Input Sheet'!C59="NA",0,'Data Input Sheet'!C59)</f>
        <v>0</v>
      </c>
      <c r="D51" s="35">
        <f>IF('Data Input Sheet'!C59="NA",0,'Data Input Sheet'!C59)</f>
        <v>0</v>
      </c>
    </row>
    <row r="52" spans="1:4" s="1" customFormat="1" x14ac:dyDescent="0.25">
      <c r="A52" s="32" t="s">
        <v>209</v>
      </c>
      <c r="B52" s="187">
        <f>SUM(B32:B51)</f>
        <v>0</v>
      </c>
      <c r="C52" s="2"/>
    </row>
    <row r="53" spans="1:4" s="1" customFormat="1" x14ac:dyDescent="0.25">
      <c r="A53" s="259" t="s">
        <v>268</v>
      </c>
      <c r="B53" s="246"/>
      <c r="C53" s="2"/>
    </row>
    <row r="54" spans="1:4" s="1" customFormat="1" x14ac:dyDescent="0.25">
      <c r="A54" s="4" t="str">
        <f>'Data Input Sheet'!A62:B62</f>
        <v>External Rating</v>
      </c>
      <c r="B54" s="25">
        <f>IF('Data Input Sheet'!C62="NA","NA",'Data Input Sheet'!C62)</f>
        <v>0</v>
      </c>
      <c r="C54" s="2"/>
      <c r="D54" s="25">
        <f>IF('Data Input Sheet'!C62="NA","NA",'Data Input Sheet'!C62)</f>
        <v>0</v>
      </c>
    </row>
    <row r="55" spans="1:4" s="1" customFormat="1" x14ac:dyDescent="0.25">
      <c r="A55" s="4" t="str">
        <f>'Data Input Sheet'!A63:B63</f>
        <v>Industry Risk Score</v>
      </c>
      <c r="B55" s="25">
        <f>IF('Data Input Sheet'!C63="NA","NA",'Data Input Sheet'!C63)</f>
        <v>0</v>
      </c>
      <c r="C55" s="2"/>
      <c r="D55" s="25">
        <f>IF('Data Input Sheet'!C63="NA","NA",'Data Input Sheet'!C63)</f>
        <v>0</v>
      </c>
    </row>
    <row r="56" spans="1:4" s="1" customFormat="1" x14ac:dyDescent="0.25">
      <c r="A56" s="4" t="str">
        <f>'Data Input Sheet'!A64:B64</f>
        <v>Business Model</v>
      </c>
      <c r="B56" s="25">
        <f>IF('Data Input Sheet'!C64="NA","NA",'Data Input Sheet'!C64)</f>
        <v>0</v>
      </c>
      <c r="C56" s="2"/>
      <c r="D56" s="25">
        <f>IF('Data Input Sheet'!C64="NA","NA",'Data Input Sheet'!C64)</f>
        <v>0</v>
      </c>
    </row>
    <row r="57" spans="1:4" s="1" customFormat="1" x14ac:dyDescent="0.25">
      <c r="A57" s="4" t="str">
        <f>'Data Input Sheet'!A65:B65</f>
        <v>Management Quality</v>
      </c>
      <c r="B57" s="25">
        <f>IF('Data Input Sheet'!C65="NA","NA",'Data Input Sheet'!C65)</f>
        <v>0</v>
      </c>
      <c r="C57" s="2"/>
      <c r="D57" s="25">
        <f>IF('Data Input Sheet'!C65="NA","NA",'Data Input Sheet'!C65)</f>
        <v>0</v>
      </c>
    </row>
    <row r="58" spans="1:4" s="1" customFormat="1" x14ac:dyDescent="0.25">
      <c r="A58" s="4" t="str">
        <f>'Data Input Sheet'!A66:B66</f>
        <v xml:space="preserve">Adverse News </v>
      </c>
      <c r="B58" s="25">
        <f>IF('Data Input Sheet'!C66="NA","NA",'Data Input Sheet'!C66)</f>
        <v>0</v>
      </c>
      <c r="C58" s="2"/>
      <c r="D58" s="25">
        <f>IF('Data Input Sheet'!C66="NA","NA",'Data Input Sheet'!C66)</f>
        <v>0</v>
      </c>
    </row>
    <row r="59" spans="1:4" s="1" customFormat="1" ht="32.25" customHeight="1" x14ac:dyDescent="0.25">
      <c r="A59" s="155" t="str">
        <f>'Data Input Sheet'!A67:B67</f>
        <v>Company spends on Corporate Social Responsibility as per regulatory requirement</v>
      </c>
      <c r="B59" s="25">
        <f>IF('Data Input Sheet'!C67="NA","NA",IF('Data Input Sheet'!C67="Yes",5,0))</f>
        <v>0</v>
      </c>
      <c r="C59" s="2"/>
      <c r="D59" s="25">
        <f>IF('Data Input Sheet'!C67="NA","NA",IF('Data Input Sheet'!C67="Yes",5,0))</f>
        <v>0</v>
      </c>
    </row>
    <row r="60" spans="1:4" s="1" customFormat="1" ht="33.75" customHeight="1" x14ac:dyDescent="0.25">
      <c r="A60" s="155" t="str">
        <f>'Data Input Sheet'!A68:B68</f>
        <v>Audit Committee meetings held on time</v>
      </c>
      <c r="B60" s="25">
        <f>IF('Data Input Sheet'!C68="NA","NA",IF('Data Input Sheet'!C68="Yes",5,0))</f>
        <v>0</v>
      </c>
      <c r="C60" s="2"/>
      <c r="D60" s="25">
        <f>IF('Data Input Sheet'!C68="NA","NA",IF('Data Input Sheet'!C68="Yes",5,0))</f>
        <v>0</v>
      </c>
    </row>
    <row r="61" spans="1:4" s="1" customFormat="1" ht="30" x14ac:dyDescent="0.25">
      <c r="A61" s="155" t="str">
        <f>'Data Input Sheet'!A69:B69</f>
        <v>Audit Committee discussed all the calendar items in the meeting</v>
      </c>
      <c r="B61" s="25">
        <f>IF('Data Input Sheet'!C69="NA","NA",IF('Data Input Sheet'!C69="Yes",5,0))</f>
        <v>0</v>
      </c>
      <c r="C61" s="2"/>
      <c r="D61" s="25">
        <f>IF('Data Input Sheet'!C69="NA","NA",IF('Data Input Sheet'!C69="Yes",5,0))</f>
        <v>0</v>
      </c>
    </row>
    <row r="62" spans="1:4" s="1" customFormat="1" ht="28.5" customHeight="1" x14ac:dyDescent="0.25">
      <c r="A62" s="155" t="str">
        <f>'Data Input Sheet'!A70:B70</f>
        <v>No Change of Auditors before the term</v>
      </c>
      <c r="B62" s="25">
        <f>IF('Data Input Sheet'!C70="NA","NA",IF('Data Input Sheet'!C70="Yes",5,0))</f>
        <v>0</v>
      </c>
      <c r="C62" s="2"/>
      <c r="D62" s="25">
        <f>IF('Data Input Sheet'!C70="NA","NA",IF('Data Input Sheet'!C70="Yes",5,0))</f>
        <v>0</v>
      </c>
    </row>
    <row r="63" spans="1:4" s="1" customFormat="1" ht="30" x14ac:dyDescent="0.25">
      <c r="A63" s="155" t="str">
        <f>'Data Input Sheet'!A71:B71</f>
        <v>No Independent directors or Key  Management officials resigned before term</v>
      </c>
      <c r="B63" s="25">
        <f>IF('Data Input Sheet'!C71="NA","NA",IF('Data Input Sheet'!C71="Yes",5,0))</f>
        <v>0</v>
      </c>
      <c r="C63" s="2"/>
      <c r="D63" s="25">
        <f>IF('Data Input Sheet'!C71="NA","NA",IF('Data Input Sheet'!C71="Yes",5,0))</f>
        <v>0</v>
      </c>
    </row>
    <row r="64" spans="1:4" s="1" customFormat="1" x14ac:dyDescent="0.25">
      <c r="A64" s="193" t="str">
        <f>'Data Input Sheet'!A72:B72</f>
        <v>Related Party Transaction</v>
      </c>
      <c r="B64" s="194">
        <f>'Data Input Sheet'!C72</f>
        <v>0</v>
      </c>
      <c r="C64" s="144"/>
      <c r="D64" s="194">
        <f>'Data Input Sheet'!C72</f>
        <v>0</v>
      </c>
    </row>
    <row r="65" spans="1:4" s="1" customFormat="1" ht="45" x14ac:dyDescent="0.25">
      <c r="A65" s="155" t="str">
        <f>'Data Input Sheet'!A73:B73</f>
        <v>Centralized database captures all data including branch level operations for all asset and liabilities</v>
      </c>
      <c r="B65" s="25">
        <f>IF('Data Input Sheet'!C73="NA","NA",IF('Data Input Sheet'!C73="Yes",5,0))</f>
        <v>0</v>
      </c>
      <c r="C65" s="2"/>
      <c r="D65" s="25">
        <f>IF('Data Input Sheet'!C73="NA","NA",IF('Data Input Sheet'!C73="Yes",5,0))</f>
        <v>0</v>
      </c>
    </row>
    <row r="66" spans="1:4" s="1" customFormat="1" ht="33.75" customHeight="1" x14ac:dyDescent="0.25">
      <c r="A66" s="155" t="str">
        <f>'Data Input Sheet'!A74:B74</f>
        <v>NPA is System Generated</v>
      </c>
      <c r="B66" s="25">
        <f>IF('Data Input Sheet'!C74="NA","NA",IF('Data Input Sheet'!C74="Yes",5,0))</f>
        <v>0</v>
      </c>
      <c r="C66" s="2"/>
      <c r="D66" s="25">
        <f>IF('Data Input Sheet'!C74="NA","NA",IF('Data Input Sheet'!C74="Yes",5,0))</f>
        <v>0</v>
      </c>
    </row>
    <row r="67" spans="1:4" s="1" customFormat="1" ht="30" x14ac:dyDescent="0.25">
      <c r="A67" s="155" t="str">
        <f>'Data Input Sheet'!A75:B75</f>
        <v>No Delay in  reporting and disclosure as per regulatory requirement</v>
      </c>
      <c r="B67" s="25">
        <f>IF('Data Input Sheet'!C75="NA","NA",IF('Data Input Sheet'!C75="Yes",5,0))</f>
        <v>0</v>
      </c>
      <c r="C67" s="2"/>
      <c r="D67" s="25">
        <f>IF('Data Input Sheet'!C75="NA","NA",IF('Data Input Sheet'!C75="Yes",5,0))</f>
        <v>0</v>
      </c>
    </row>
    <row r="68" spans="1:4" s="1" customFormat="1" ht="60" x14ac:dyDescent="0.25">
      <c r="A68" s="155" t="str">
        <f>'Data Input Sheet'!A76:B76</f>
        <v xml:space="preserve">Competent and Independent Management handles operation of company and promoter is not directly involved in day to day  operation  </v>
      </c>
      <c r="B68" s="25">
        <f>IF('Data Input Sheet'!C76="NA","NA",IF('Data Input Sheet'!C76="Yes",5,0))</f>
        <v>0</v>
      </c>
      <c r="C68" s="2"/>
      <c r="D68" s="25">
        <f>IF('Data Input Sheet'!C76="NA","NA",IF('Data Input Sheet'!C76="Yes",5,0))</f>
        <v>0</v>
      </c>
    </row>
    <row r="69" spans="1:4" s="1" customFormat="1" ht="45" x14ac:dyDescent="0.25">
      <c r="A69" s="155" t="str">
        <f>'Data Input Sheet'!A77:B77</f>
        <v>No divergence between regulator assessment of company financials and Company Audited Financials</v>
      </c>
      <c r="B69" s="25">
        <f>IF('Data Input Sheet'!C77="NA","NA",IF('Data Input Sheet'!C77="Yes",5,0))</f>
        <v>0</v>
      </c>
      <c r="C69" s="2"/>
      <c r="D69" s="25">
        <f>IF('Data Input Sheet'!C77="NA","NA",IF('Data Input Sheet'!C77="Yes",5,0))</f>
        <v>0</v>
      </c>
    </row>
    <row r="70" spans="1:4" s="1" customFormat="1" x14ac:dyDescent="0.25">
      <c r="A70" s="155" t="str">
        <f>'Data Input Sheet'!A78:B78</f>
        <v>SMA  2 under loan portfolio</v>
      </c>
      <c r="B70" s="25">
        <f>IF('Data Input Sheet'!C78="NA","NA",'Data Input Sheet'!C78)</f>
        <v>0</v>
      </c>
      <c r="C70" s="2"/>
      <c r="D70" s="25">
        <f>IF('Data Input Sheet'!C78="NA","NA",'Data Input Sheet'!C78)</f>
        <v>0</v>
      </c>
    </row>
    <row r="71" spans="1:4" s="1" customFormat="1" ht="30.75" customHeight="1" x14ac:dyDescent="0.25">
      <c r="A71" s="155" t="str">
        <f>'Data Input Sheet'!A79:B79</f>
        <v>Qualified Opinion by Auditor</v>
      </c>
      <c r="B71" s="25">
        <f>'Data Input Sheet'!C79</f>
        <v>0</v>
      </c>
      <c r="C71" s="2"/>
      <c r="D71" s="25">
        <f>'Data Input Sheet'!C79</f>
        <v>0</v>
      </c>
    </row>
    <row r="72" spans="1:4" s="1" customFormat="1" ht="27.75" customHeight="1" x14ac:dyDescent="0.25">
      <c r="A72" s="155" t="str">
        <f>'Data Input Sheet'!A80:B80</f>
        <v>Default with Lenders</v>
      </c>
      <c r="B72" s="25">
        <f>IF('Data Input Sheet'!C80="NA","NA",'Data Input Sheet'!C80)</f>
        <v>0</v>
      </c>
      <c r="C72" s="2"/>
      <c r="D72" s="25">
        <f>IF('Data Input Sheet'!C80="NA","NA",'Data Input Sheet'!C80)</f>
        <v>0</v>
      </c>
    </row>
    <row r="73" spans="1:4" s="1" customFormat="1" x14ac:dyDescent="0.25">
      <c r="A73" s="31" t="s">
        <v>280</v>
      </c>
      <c r="B73" s="106">
        <f>SUM(B74:B93)</f>
        <v>0</v>
      </c>
      <c r="C73" s="2"/>
      <c r="D73" s="106">
        <f>SUM(D74:D93)</f>
        <v>0</v>
      </c>
    </row>
    <row r="74" spans="1:4" x14ac:dyDescent="0.25">
      <c r="A74" s="4" t="s">
        <v>248</v>
      </c>
      <c r="B74" s="105">
        <f>IF('Data Input Sheet'!D40="Yes",IF(A74="","",VLOOKUP($A74,$A$32:B$51,2,FALSE)),0)</f>
        <v>0</v>
      </c>
      <c r="D74" s="105">
        <f>IF('Data Input Sheet'!D40="Yes",IF(A74="","",VLOOKUP($A74,$A$32:D$51,4,FALSE)),0)</f>
        <v>0</v>
      </c>
    </row>
    <row r="75" spans="1:4" x14ac:dyDescent="0.25">
      <c r="A75" s="4" t="s">
        <v>249</v>
      </c>
      <c r="B75" s="105">
        <f>IF('Data Input Sheet'!D41="Yes",IF(A75="","",VLOOKUP($A75,$A$32:B$51,2,FALSE)),0)</f>
        <v>0</v>
      </c>
      <c r="D75" s="105">
        <f>IF('Data Input Sheet'!D41="Yes",IF(A75="","",VLOOKUP($A75,$A$32:D$51,4,FALSE)),0)</f>
        <v>0</v>
      </c>
    </row>
    <row r="76" spans="1:4" x14ac:dyDescent="0.25">
      <c r="A76" s="4" t="s">
        <v>250</v>
      </c>
      <c r="B76" s="105">
        <f>IF('Data Input Sheet'!D42="Yes",IF(A76="","",VLOOKUP($A76,$A$32:B$51,2,FALSE)),0)</f>
        <v>0</v>
      </c>
      <c r="D76" s="105">
        <f>IF('Data Input Sheet'!D42="Yes",IF(A76="","",VLOOKUP($A76,$A$32:D$51,4,FALSE)),0)</f>
        <v>0</v>
      </c>
    </row>
    <row r="77" spans="1:4" x14ac:dyDescent="0.25">
      <c r="A77" s="4" t="s">
        <v>251</v>
      </c>
      <c r="B77" s="105">
        <f>IF('Data Input Sheet'!D43="Yes",IF(A77="","",VLOOKUP($A77,$A$32:B$51,2,FALSE)),0)</f>
        <v>0</v>
      </c>
      <c r="D77" s="105">
        <f>IF('Data Input Sheet'!D43="Yes",IF(A77="","",VLOOKUP($A77,$A$32:D$51,4,FALSE)),0)</f>
        <v>0</v>
      </c>
    </row>
    <row r="78" spans="1:4" x14ac:dyDescent="0.25">
      <c r="A78" s="4" t="s">
        <v>252</v>
      </c>
      <c r="B78" s="105">
        <f>IF('Data Input Sheet'!D44="Yes",IF(A78="","",VLOOKUP($A78,$A$32:B$51,2,FALSE)),0)</f>
        <v>0</v>
      </c>
      <c r="D78" s="105">
        <f>IF('Data Input Sheet'!D44="Yes",IF(A78="","",VLOOKUP($A78,$A$32:D$51,4,FALSE)),0)</f>
        <v>0</v>
      </c>
    </row>
    <row r="79" spans="1:4" x14ac:dyDescent="0.25">
      <c r="A79" s="4" t="s">
        <v>253</v>
      </c>
      <c r="B79" s="105">
        <f>IF('Data Input Sheet'!D45="Yes",IF(A79="","",VLOOKUP($A79,$A$32:B$51,2,FALSE)),0)</f>
        <v>0</v>
      </c>
      <c r="D79" s="105">
        <f>IF('Data Input Sheet'!D45="Yes",IF(A79="","",VLOOKUP($A79,$A$32:D$51,4,FALSE)),0)</f>
        <v>0</v>
      </c>
    </row>
    <row r="80" spans="1:4" x14ac:dyDescent="0.25">
      <c r="A80" s="4" t="s">
        <v>254</v>
      </c>
      <c r="B80" s="105">
        <f>IF('Data Input Sheet'!D46="Yes",IF(A80="","",VLOOKUP($A80,$A$32:B$51,2,FALSE)),0)</f>
        <v>0</v>
      </c>
      <c r="D80" s="105">
        <f>IF('Data Input Sheet'!D46="Yes",IF(A80="","",VLOOKUP($A80,$A$32:D$51,4,FALSE)),0)</f>
        <v>0</v>
      </c>
    </row>
    <row r="81" spans="1:4" x14ac:dyDescent="0.25">
      <c r="A81" s="4" t="s">
        <v>255</v>
      </c>
      <c r="B81" s="105">
        <f>IF('Data Input Sheet'!D47="Yes",IF(A81="","",VLOOKUP($A81,$A$32:B$51,2,FALSE)),0)</f>
        <v>0</v>
      </c>
      <c r="D81" s="105">
        <f>IF('Data Input Sheet'!D47="Yes",IF(A81="","",VLOOKUP($A81,$A$32:D$51,4,FALSE)),0)</f>
        <v>0</v>
      </c>
    </row>
    <row r="82" spans="1:4" x14ac:dyDescent="0.25">
      <c r="A82" s="4" t="s">
        <v>256</v>
      </c>
      <c r="B82" s="105">
        <f>IF('Data Input Sheet'!D48="Yes",IF(A82="","",VLOOKUP($A82,$A$32:B$51,2,FALSE)),0)</f>
        <v>0</v>
      </c>
      <c r="D82" s="105">
        <f>IF('Data Input Sheet'!D48="Yes",IF(A82="","",VLOOKUP($A82,$A$32:D$51,4,FALSE)),0)</f>
        <v>0</v>
      </c>
    </row>
    <row r="83" spans="1:4" x14ac:dyDescent="0.25">
      <c r="A83" s="4" t="s">
        <v>257</v>
      </c>
      <c r="B83" s="105">
        <f>IF('Data Input Sheet'!D49="Yes",IF(A83="","",VLOOKUP($A83,$A$32:B$51,2,FALSE)),0)</f>
        <v>0</v>
      </c>
      <c r="D83" s="105">
        <f>IF('Data Input Sheet'!D49="Yes",IF(A83="","",VLOOKUP($A83,$A$32:D$51,4,FALSE)),0)</f>
        <v>0</v>
      </c>
    </row>
    <row r="84" spans="1:4" x14ac:dyDescent="0.25">
      <c r="A84" s="4" t="s">
        <v>258</v>
      </c>
      <c r="B84" s="105">
        <f>IF('Data Input Sheet'!D50="Yes",IF(A84="","",VLOOKUP($A84,$A$32:B$51,2,FALSE)),0)</f>
        <v>0</v>
      </c>
      <c r="D84" s="105">
        <f>IF('Data Input Sheet'!D50="Yes",IF(A84="","",VLOOKUP($A84,$A$32:D$51,4,FALSE)),0)</f>
        <v>0</v>
      </c>
    </row>
    <row r="85" spans="1:4" x14ac:dyDescent="0.25">
      <c r="A85" s="4" t="s">
        <v>259</v>
      </c>
      <c r="B85" s="105">
        <f>IF('Data Input Sheet'!D51="Yes",IF(A85="","",VLOOKUP($A85,$A$32:B$51,2,FALSE)),0)</f>
        <v>0</v>
      </c>
      <c r="D85" s="105">
        <f>IF('Data Input Sheet'!D51="Yes",IF(A85="","",VLOOKUP($A85,$A$32:D$51,4,FALSE)),0)</f>
        <v>0</v>
      </c>
    </row>
    <row r="86" spans="1:4" x14ac:dyDescent="0.25">
      <c r="A86" s="4" t="s">
        <v>260</v>
      </c>
      <c r="B86" s="105">
        <f>IF('Data Input Sheet'!D52="Yes",IF(A86="","",VLOOKUP($A86,$A$32:B$51,2,FALSE)),0)</f>
        <v>0</v>
      </c>
      <c r="D86" s="105">
        <f>IF('Data Input Sheet'!D52="Yes",IF(A86="","",VLOOKUP($A86,$A$32:D$51,4,FALSE)),0)</f>
        <v>0</v>
      </c>
    </row>
    <row r="87" spans="1:4" x14ac:dyDescent="0.25">
      <c r="A87" s="4" t="s">
        <v>261</v>
      </c>
      <c r="B87" s="105">
        <f>IF('Data Input Sheet'!D53="Yes",IF(A87="","",VLOOKUP($A87,$A$32:B$51,2,FALSE)),0)</f>
        <v>0</v>
      </c>
      <c r="D87" s="105">
        <f>IF('Data Input Sheet'!D53="Yes",IF(A87="","",VLOOKUP($A87,$A$32:D$51,4,FALSE)),0)</f>
        <v>0</v>
      </c>
    </row>
    <row r="88" spans="1:4" x14ac:dyDescent="0.25">
      <c r="A88" s="4" t="s">
        <v>262</v>
      </c>
      <c r="B88" s="105">
        <f>IF('Data Input Sheet'!D54="Yes",IF(A88="","",VLOOKUP($A88,$A$32:B$51,2,FALSE)),0)</f>
        <v>0</v>
      </c>
      <c r="D88" s="105">
        <f>IF('Data Input Sheet'!D54="Yes",IF(A88="","",VLOOKUP($A88,$A$32:D$51,4,FALSE)),0)</f>
        <v>0</v>
      </c>
    </row>
    <row r="89" spans="1:4" x14ac:dyDescent="0.25">
      <c r="A89" s="4" t="s">
        <v>263</v>
      </c>
      <c r="B89" s="105">
        <f>IF('Data Input Sheet'!D55="Yes",IF(A89="","",VLOOKUP($A89,$A$32:B$51,2,FALSE)),0)</f>
        <v>0</v>
      </c>
      <c r="D89" s="105">
        <f>IF('Data Input Sheet'!D55="Yes",IF(A89="","",VLOOKUP($A89,$A$32:D$51,4,FALSE)),0)</f>
        <v>0</v>
      </c>
    </row>
    <row r="90" spans="1:4" x14ac:dyDescent="0.25">
      <c r="A90" s="4" t="s">
        <v>264</v>
      </c>
      <c r="B90" s="105">
        <f>IF('Data Input Sheet'!D56="Yes",IF(A90="","",VLOOKUP($A90,$A$32:B$51,2,FALSE)),0)</f>
        <v>0</v>
      </c>
      <c r="D90" s="105">
        <f>IF('Data Input Sheet'!D56="Yes",IF(A90="","",VLOOKUP($A90,$A$32:D$51,4,FALSE)),0)</f>
        <v>0</v>
      </c>
    </row>
    <row r="91" spans="1:4" x14ac:dyDescent="0.25">
      <c r="A91" s="4" t="s">
        <v>265</v>
      </c>
      <c r="B91" s="105">
        <f>IF('Data Input Sheet'!D57="Yes",IF(A91="","",VLOOKUP($A91,$A$32:B$51,2,FALSE)),0)</f>
        <v>0</v>
      </c>
      <c r="D91" s="105">
        <f>IF('Data Input Sheet'!D57="Yes",IF(A91="","",VLOOKUP($A91,$A$32:D$51,4,FALSE)),0)</f>
        <v>0</v>
      </c>
    </row>
    <row r="92" spans="1:4" x14ac:dyDescent="0.25">
      <c r="A92" s="4" t="s">
        <v>266</v>
      </c>
      <c r="B92" s="105">
        <f>IF('Data Input Sheet'!D58="Yes",IF(A92="","",VLOOKUP($A92,$A$32:B$51,2,FALSE)),0)</f>
        <v>0</v>
      </c>
      <c r="D92" s="105">
        <f>IF('Data Input Sheet'!D58="Yes",IF(A92="","",VLOOKUP($A92,$A$32:D$51,4,FALSE)),0)</f>
        <v>0</v>
      </c>
    </row>
    <row r="93" spans="1:4" x14ac:dyDescent="0.25">
      <c r="A93" s="4" t="s">
        <v>267</v>
      </c>
      <c r="B93" s="105">
        <f>IF('Data Input Sheet'!D59="Yes",IF(A93="","",VLOOKUP($A93,$A$32:B$51,2,FALSE)),0)</f>
        <v>0</v>
      </c>
      <c r="D93" s="105">
        <f>IF('Data Input Sheet'!D59="Yes",IF(A93="","",VLOOKUP($A93,$A$32:D$51,4,FALSE)),0)</f>
        <v>0</v>
      </c>
    </row>
  </sheetData>
  <mergeCells count="2">
    <mergeCell ref="A31:B31"/>
    <mergeCell ref="A53:B5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1"/>
  <sheetViews>
    <sheetView workbookViewId="0">
      <selection activeCell="B46" sqref="B46"/>
    </sheetView>
  </sheetViews>
  <sheetFormatPr defaultRowHeight="16.5" x14ac:dyDescent="0.3"/>
  <cols>
    <col min="1" max="1" width="109.85546875" style="16" customWidth="1"/>
    <col min="2" max="2" width="10" style="20" customWidth="1"/>
    <col min="3" max="3" width="12.140625" style="11" customWidth="1"/>
    <col min="4" max="4" width="9.140625" style="21"/>
    <col min="5" max="25" width="9.140625" style="1"/>
  </cols>
  <sheetData>
    <row r="1" spans="1:2" ht="17.25" thickBot="1" x14ac:dyDescent="0.35">
      <c r="A1" s="260" t="s">
        <v>224</v>
      </c>
      <c r="B1" s="261"/>
    </row>
    <row r="2" spans="1:2" x14ac:dyDescent="0.3">
      <c r="A2" s="13" t="s">
        <v>218</v>
      </c>
      <c r="B2" s="17"/>
    </row>
    <row r="3" spans="1:2" ht="83.25" thickBot="1" x14ac:dyDescent="0.35">
      <c r="A3" s="14" t="s">
        <v>219</v>
      </c>
      <c r="B3" s="18">
        <v>5</v>
      </c>
    </row>
    <row r="4" spans="1:2" ht="82.5" x14ac:dyDescent="0.3">
      <c r="A4" s="14" t="s">
        <v>220</v>
      </c>
      <c r="B4" s="18">
        <v>4</v>
      </c>
    </row>
    <row r="5" spans="1:2" ht="66" x14ac:dyDescent="0.3">
      <c r="A5" s="14" t="s">
        <v>221</v>
      </c>
      <c r="B5" s="18">
        <v>3</v>
      </c>
    </row>
    <row r="6" spans="1:2" ht="82.5" x14ac:dyDescent="0.3">
      <c r="A6" s="14" t="s">
        <v>222</v>
      </c>
      <c r="B6" s="18">
        <v>2</v>
      </c>
    </row>
    <row r="7" spans="1:2" ht="33" x14ac:dyDescent="0.3">
      <c r="A7" s="14" t="s">
        <v>223</v>
      </c>
      <c r="B7" s="18">
        <v>1</v>
      </c>
    </row>
    <row r="8" spans="1:2" ht="17.25" thickBot="1" x14ac:dyDescent="0.35">
      <c r="A8" s="15" t="s">
        <v>357</v>
      </c>
      <c r="B8" s="19" t="s">
        <v>358</v>
      </c>
    </row>
    <row r="9" spans="1:2" ht="17.25" thickBot="1" x14ac:dyDescent="0.35">
      <c r="A9" s="158" t="s">
        <v>225</v>
      </c>
      <c r="B9" s="159"/>
    </row>
    <row r="10" spans="1:2" ht="66" x14ac:dyDescent="0.3">
      <c r="A10" s="124" t="s">
        <v>226</v>
      </c>
      <c r="B10" s="125">
        <v>5</v>
      </c>
    </row>
    <row r="11" spans="1:2" ht="49.5" x14ac:dyDescent="0.3">
      <c r="A11" s="14" t="s">
        <v>227</v>
      </c>
      <c r="B11" s="18">
        <v>4</v>
      </c>
    </row>
    <row r="12" spans="1:2" ht="49.5" x14ac:dyDescent="0.3">
      <c r="A12" s="14" t="s">
        <v>228</v>
      </c>
      <c r="B12" s="18">
        <v>3</v>
      </c>
    </row>
    <row r="13" spans="1:2" ht="33" x14ac:dyDescent="0.3">
      <c r="A13" s="14" t="s">
        <v>229</v>
      </c>
      <c r="B13" s="18">
        <v>2</v>
      </c>
    </row>
    <row r="14" spans="1:2" ht="33" x14ac:dyDescent="0.3">
      <c r="A14" s="14" t="s">
        <v>230</v>
      </c>
      <c r="B14" s="18">
        <v>1</v>
      </c>
    </row>
    <row r="15" spans="1:2" ht="17.25" thickBot="1" x14ac:dyDescent="0.35">
      <c r="A15" s="15" t="s">
        <v>357</v>
      </c>
      <c r="B15" s="19" t="s">
        <v>358</v>
      </c>
    </row>
    <row r="16" spans="1:2" ht="17.25" hidden="1" thickBot="1" x14ac:dyDescent="0.35">
      <c r="A16" s="158"/>
      <c r="B16" s="159"/>
    </row>
    <row r="17" spans="1:2" hidden="1" x14ac:dyDescent="0.3">
      <c r="A17" s="124"/>
      <c r="B17" s="125"/>
    </row>
    <row r="18" spans="1:2" hidden="1" x14ac:dyDescent="0.3">
      <c r="A18" s="14"/>
      <c r="B18" s="18"/>
    </row>
    <row r="19" spans="1:2" hidden="1" x14ac:dyDescent="0.3">
      <c r="A19" s="14"/>
      <c r="B19" s="18"/>
    </row>
    <row r="20" spans="1:2" hidden="1" x14ac:dyDescent="0.3">
      <c r="A20" s="14"/>
      <c r="B20" s="18"/>
    </row>
    <row r="21" spans="1:2" hidden="1" x14ac:dyDescent="0.3">
      <c r="A21" s="14"/>
      <c r="B21" s="18"/>
    </row>
    <row r="22" spans="1:2" ht="17.25" hidden="1" thickBot="1" x14ac:dyDescent="0.35">
      <c r="A22" s="15"/>
      <c r="B22" s="19"/>
    </row>
    <row r="23" spans="1:2" ht="30" x14ac:dyDescent="0.3">
      <c r="A23" s="160" t="s">
        <v>356</v>
      </c>
      <c r="B23" s="17"/>
    </row>
    <row r="24" spans="1:2" ht="33" x14ac:dyDescent="0.3">
      <c r="A24" s="14" t="s">
        <v>418</v>
      </c>
      <c r="B24" s="18">
        <v>5</v>
      </c>
    </row>
    <row r="25" spans="1:2" ht="49.5" x14ac:dyDescent="0.3">
      <c r="A25" s="14" t="s">
        <v>419</v>
      </c>
      <c r="B25" s="18">
        <v>4</v>
      </c>
    </row>
    <row r="26" spans="1:2" ht="49.5" x14ac:dyDescent="0.3">
      <c r="A26" s="14" t="s">
        <v>420</v>
      </c>
      <c r="B26" s="18">
        <v>3</v>
      </c>
    </row>
    <row r="27" spans="1:2" ht="49.5" x14ac:dyDescent="0.3">
      <c r="A27" s="14" t="s">
        <v>421</v>
      </c>
      <c r="B27" s="18">
        <v>2</v>
      </c>
    </row>
    <row r="28" spans="1:2" ht="17.25" thickBot="1" x14ac:dyDescent="0.35">
      <c r="A28" s="14" t="s">
        <v>357</v>
      </c>
      <c r="B28" s="19" t="s">
        <v>358</v>
      </c>
    </row>
    <row r="29" spans="1:2" x14ac:dyDescent="0.3">
      <c r="A29" s="142" t="s">
        <v>363</v>
      </c>
      <c r="B29" s="17"/>
    </row>
    <row r="30" spans="1:2" x14ac:dyDescent="0.3">
      <c r="A30" s="14" t="s">
        <v>364</v>
      </c>
      <c r="B30" s="18">
        <v>4</v>
      </c>
    </row>
    <row r="31" spans="1:2" x14ac:dyDescent="0.3">
      <c r="A31" s="14" t="s">
        <v>365</v>
      </c>
      <c r="B31" s="18">
        <v>3</v>
      </c>
    </row>
    <row r="32" spans="1:2" x14ac:dyDescent="0.3">
      <c r="A32" s="14" t="s">
        <v>371</v>
      </c>
      <c r="B32" s="18">
        <v>2</v>
      </c>
    </row>
    <row r="33" spans="1:2" x14ac:dyDescent="0.3">
      <c r="A33" s="14" t="s">
        <v>372</v>
      </c>
      <c r="B33" s="18">
        <v>1</v>
      </c>
    </row>
    <row r="34" spans="1:2" ht="17.25" thickBot="1" x14ac:dyDescent="0.35">
      <c r="A34" s="14" t="s">
        <v>357</v>
      </c>
      <c r="B34" s="18" t="s">
        <v>358</v>
      </c>
    </row>
    <row r="35" spans="1:2" x14ac:dyDescent="0.3">
      <c r="A35" s="142" t="s">
        <v>369</v>
      </c>
      <c r="B35" s="17"/>
    </row>
    <row r="36" spans="1:2" x14ac:dyDescent="0.3">
      <c r="A36" s="14" t="s">
        <v>366</v>
      </c>
      <c r="B36" s="18">
        <v>3</v>
      </c>
    </row>
    <row r="37" spans="1:2" x14ac:dyDescent="0.3">
      <c r="A37" s="14" t="s">
        <v>367</v>
      </c>
      <c r="B37" s="18">
        <v>2</v>
      </c>
    </row>
    <row r="38" spans="1:2" x14ac:dyDescent="0.3">
      <c r="A38" s="14" t="s">
        <v>368</v>
      </c>
      <c r="B38" s="18">
        <v>1</v>
      </c>
    </row>
    <row r="39" spans="1:2" ht="17.25" thickBot="1" x14ac:dyDescent="0.35">
      <c r="A39" s="14" t="s">
        <v>357</v>
      </c>
      <c r="B39" s="18" t="s">
        <v>358</v>
      </c>
    </row>
    <row r="40" spans="1:2" x14ac:dyDescent="0.3">
      <c r="A40" s="195" t="s">
        <v>400</v>
      </c>
      <c r="B40" s="17"/>
    </row>
    <row r="41" spans="1:2" x14ac:dyDescent="0.3">
      <c r="A41" s="14" t="s">
        <v>401</v>
      </c>
      <c r="B41" s="18">
        <v>4</v>
      </c>
    </row>
    <row r="42" spans="1:2" x14ac:dyDescent="0.3">
      <c r="A42" s="14" t="s">
        <v>402</v>
      </c>
      <c r="B42" s="18">
        <v>3</v>
      </c>
    </row>
    <row r="43" spans="1:2" x14ac:dyDescent="0.3">
      <c r="A43" s="14" t="s">
        <v>403</v>
      </c>
      <c r="B43" s="18">
        <v>2</v>
      </c>
    </row>
    <row r="44" spans="1:2" x14ac:dyDescent="0.3">
      <c r="A44" s="14" t="s">
        <v>404</v>
      </c>
      <c r="B44" s="18">
        <v>1</v>
      </c>
    </row>
    <row r="45" spans="1:2" ht="17.25" thickBot="1" x14ac:dyDescent="0.35">
      <c r="A45" s="14" t="s">
        <v>357</v>
      </c>
      <c r="B45" s="18" t="s">
        <v>358</v>
      </c>
    </row>
    <row r="46" spans="1:2" x14ac:dyDescent="0.3">
      <c r="A46" s="195" t="s">
        <v>432</v>
      </c>
      <c r="B46" s="17"/>
    </row>
    <row r="47" spans="1:2" x14ac:dyDescent="0.3">
      <c r="A47" s="14" t="s">
        <v>433</v>
      </c>
      <c r="B47" s="18">
        <v>4</v>
      </c>
    </row>
    <row r="48" spans="1:2" x14ac:dyDescent="0.3">
      <c r="A48" s="14" t="s">
        <v>434</v>
      </c>
      <c r="B48" s="18">
        <v>3</v>
      </c>
    </row>
    <row r="49" spans="1:2" x14ac:dyDescent="0.3">
      <c r="A49" s="14" t="s">
        <v>435</v>
      </c>
      <c r="B49" s="18">
        <v>2</v>
      </c>
    </row>
    <row r="50" spans="1:2" x14ac:dyDescent="0.3">
      <c r="A50" s="14" t="s">
        <v>436</v>
      </c>
      <c r="B50" s="18">
        <v>1</v>
      </c>
    </row>
    <row r="51" spans="1:2" ht="17.25" thickBot="1" x14ac:dyDescent="0.35">
      <c r="A51" s="15" t="s">
        <v>357</v>
      </c>
      <c r="B51" s="19" t="s">
        <v>358</v>
      </c>
    </row>
  </sheetData>
  <mergeCells count="1">
    <mergeCell ref="A1:B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'C:\2018\Mandates\IDFC\Deliverable 2\[IRR_IDFC_Bank Model_16012019.xlsx]Input Range'!#REF!</xm:f>
          </x14:formula1>
          <xm:sqref>B2 B9 B16</xm:sqref>
        </x14:dataValidation>
        <x14:dataValidation type="list" allowBlank="1" showInputMessage="1" showErrorMessage="1" xr:uid="{00000000-0002-0000-0300-000001000000}">
          <x14:formula1>
            <xm:f>'Z:\2018\Mandates\IDFC\Deliverable 2\[IRR_IDFC_Bank Model_16012019.xlsx]Input Range'!#REF!</xm:f>
          </x14:formula1>
          <xm:sqref>B35 B29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80"/>
  <sheetViews>
    <sheetView showGridLines="0" topLeftCell="F6" zoomScale="90" zoomScaleNormal="90" workbookViewId="0">
      <selection activeCell="G13" sqref="G13"/>
    </sheetView>
  </sheetViews>
  <sheetFormatPr defaultRowHeight="16.5" x14ac:dyDescent="0.3"/>
  <cols>
    <col min="1" max="1" width="12.85546875" style="117" bestFit="1" customWidth="1"/>
    <col min="2" max="2" width="7.28515625" style="117" customWidth="1"/>
    <col min="3" max="3" width="15.28515625" style="117" bestFit="1" customWidth="1"/>
    <col min="4" max="4" width="9.140625" style="117"/>
    <col min="5" max="5" width="17.7109375" style="117" bestFit="1" customWidth="1"/>
    <col min="6" max="6" width="9.140625" style="117"/>
    <col min="7" max="7" width="61.42578125" style="117" bestFit="1" customWidth="1"/>
    <col min="8" max="8" width="21.85546875" style="117" bestFit="1" customWidth="1"/>
    <col min="9" max="9" width="23" style="128" bestFit="1" customWidth="1"/>
    <col min="10" max="10" width="13.7109375" style="131" bestFit="1" customWidth="1"/>
    <col min="11" max="11" width="11" style="118" bestFit="1" customWidth="1"/>
    <col min="12" max="12" width="9.140625" style="118"/>
    <col min="13" max="13" width="10" style="21" customWidth="1"/>
    <col min="14" max="14" width="11" style="118" bestFit="1" customWidth="1"/>
    <col min="15" max="15" width="9.140625" style="118"/>
    <col min="16" max="28" width="9.140625" style="1"/>
  </cols>
  <sheetData>
    <row r="1" spans="1:18" x14ac:dyDescent="0.3">
      <c r="A1" s="301" t="s">
        <v>278</v>
      </c>
      <c r="B1" s="302"/>
      <c r="C1" s="302"/>
      <c r="D1" s="302"/>
      <c r="E1" s="302"/>
      <c r="F1" s="302"/>
      <c r="G1" s="302"/>
      <c r="H1" s="302"/>
      <c r="I1" s="303"/>
      <c r="K1" s="296" t="s">
        <v>270</v>
      </c>
      <c r="L1" s="296"/>
      <c r="N1" s="296" t="s">
        <v>279</v>
      </c>
      <c r="O1" s="296"/>
    </row>
    <row r="2" spans="1:18" x14ac:dyDescent="0.3">
      <c r="A2" s="297" t="s">
        <v>212</v>
      </c>
      <c r="B2" s="298"/>
      <c r="C2" s="298"/>
      <c r="D2" s="298"/>
      <c r="E2" s="298"/>
      <c r="F2" s="298"/>
      <c r="G2" s="107">
        <f>'Data Input Sheet'!B4</f>
        <v>0</v>
      </c>
      <c r="H2" s="107"/>
      <c r="I2" s="127" t="s">
        <v>184</v>
      </c>
      <c r="J2" s="132"/>
      <c r="K2" s="108" t="s">
        <v>3</v>
      </c>
      <c r="L2" s="108" t="s">
        <v>1</v>
      </c>
      <c r="N2" s="108" t="s">
        <v>3</v>
      </c>
      <c r="O2" s="108" t="s">
        <v>1</v>
      </c>
    </row>
    <row r="3" spans="1:18" x14ac:dyDescent="0.3">
      <c r="A3" s="299" t="s">
        <v>185</v>
      </c>
      <c r="B3" s="299"/>
      <c r="C3" s="299"/>
      <c r="D3" s="299"/>
      <c r="E3" s="300">
        <v>0.1</v>
      </c>
      <c r="F3" s="300"/>
      <c r="G3" s="109" t="str">
        <f>'Data Input Sheet'!A63</f>
        <v>Industry Risk Score</v>
      </c>
      <c r="H3" s="153">
        <v>1</v>
      </c>
      <c r="I3" s="136">
        <v>1</v>
      </c>
      <c r="J3" s="132">
        <f>E3*I3</f>
        <v>0.1</v>
      </c>
      <c r="K3" s="110">
        <f>IF('Data Input Sheet'!C63="NA",0,'Data Input Sheet'!C63*2)</f>
        <v>0</v>
      </c>
      <c r="L3" s="110">
        <f>K3*$I3*$E$3*10</f>
        <v>0</v>
      </c>
      <c r="M3" s="162"/>
      <c r="N3" s="110">
        <f>IF('Data Input Sheet'!C63="NA",0,'Data Input Sheet'!C63*2)</f>
        <v>0</v>
      </c>
      <c r="O3" s="110">
        <f>N3*$I3*$E$3*10</f>
        <v>0</v>
      </c>
      <c r="P3" s="162"/>
      <c r="Q3" s="151"/>
      <c r="R3" s="151"/>
    </row>
    <row r="4" spans="1:18" ht="16.5" customHeight="1" x14ac:dyDescent="0.3">
      <c r="A4" s="304" t="s">
        <v>186</v>
      </c>
      <c r="B4" s="307">
        <v>0.4</v>
      </c>
      <c r="C4" s="310" t="s">
        <v>187</v>
      </c>
      <c r="D4" s="310"/>
      <c r="E4" s="309">
        <v>0.33</v>
      </c>
      <c r="F4" s="309"/>
      <c r="G4" s="111" t="s">
        <v>104</v>
      </c>
      <c r="H4" s="138">
        <f>IF(OR('Model Inputs'!B3="NA",'Model Inputs'!D3="NA"),0,50%)</f>
        <v>0.5</v>
      </c>
      <c r="I4" s="152">
        <f>IF(SUM($H$4:$H$6)=0,50%,IF(H4=0,0,50%+(100%-SUM($H$4:$H$6))/(3-COUNTIF($H$4:$H$6,0))))</f>
        <v>0.5</v>
      </c>
      <c r="J4" s="132">
        <f>$B$4*$E$4*I4</f>
        <v>6.6000000000000003E-2</v>
      </c>
      <c r="K4" s="122">
        <f>IF('Model Inputs'!B3="NA",0,IF('Model Inputs'!B3&gt;1500000,10,IF('Model Inputs'!B3&lt;100000,0,(('Model Inputs'!B3-100000)*10/(1500000-100000)))))</f>
        <v>0</v>
      </c>
      <c r="L4" s="112">
        <f>K4*$I4*$E4*$B$4*10</f>
        <v>0</v>
      </c>
      <c r="M4" s="162"/>
      <c r="N4" s="122">
        <f>IF('Model Inputs'!D3="NA",0,IF('Model Inputs'!D3&gt;1500000,10,IF('Model Inputs'!D3&lt;100000,0,(('Model Inputs'!D3-100000)*10/(1500000-100000)))))</f>
        <v>0</v>
      </c>
      <c r="O4" s="112">
        <f>N4*$I4*$E4*$B$4*10</f>
        <v>0</v>
      </c>
      <c r="P4" s="162"/>
      <c r="Q4" s="151"/>
      <c r="R4" s="151"/>
    </row>
    <row r="5" spans="1:18" x14ac:dyDescent="0.3">
      <c r="A5" s="305"/>
      <c r="B5" s="307"/>
      <c r="C5" s="310"/>
      <c r="D5" s="310"/>
      <c r="E5" s="309"/>
      <c r="F5" s="309"/>
      <c r="G5" s="111" t="s">
        <v>206</v>
      </c>
      <c r="H5" s="138">
        <f>IF(OR('Model Inputs'!B5="NA",'Model Inputs'!D5="NA"),0,28.5714285714286%)</f>
        <v>0.28571428571428603</v>
      </c>
      <c r="I5" s="152">
        <f>IF(SUM($H$4:$H$6)=0,28.5714285714286%,IF(H5=0,0,28.5714285714286%+(100%-SUM($H$4:$H$6))/(3-COUNTIF($H$4:$H$6,0))))</f>
        <v>0.28571428571428603</v>
      </c>
      <c r="J5" s="132">
        <f>$B$4*$E$4*I5</f>
        <v>3.7714285714285756E-2</v>
      </c>
      <c r="K5" s="122">
        <f>IF('Model Inputs'!B5="NA",0,IF('Model Inputs'!B5&lt;15%,0,IF('Model Inputs'!B5&gt;50%,10,('Model Inputs'!B5-15%)*10/35%)))</f>
        <v>0</v>
      </c>
      <c r="L5" s="112">
        <f>K5*$I5*$E4*$B$4*10</f>
        <v>0</v>
      </c>
      <c r="M5" s="162"/>
      <c r="N5" s="122">
        <f>IF('Model Inputs'!D5="NA",0,IF('Model Inputs'!D5&lt;15%,0,IF('Model Inputs'!D5&gt;50%,10,('Model Inputs'!D5-15%)*10/35%)))</f>
        <v>0</v>
      </c>
      <c r="O5" s="112">
        <f>N5*$I5*$E4*$B$4*10</f>
        <v>0</v>
      </c>
      <c r="P5" s="162"/>
      <c r="Q5" s="151"/>
      <c r="R5" s="151"/>
    </row>
    <row r="6" spans="1:18" x14ac:dyDescent="0.3">
      <c r="A6" s="305"/>
      <c r="B6" s="307"/>
      <c r="C6" s="310"/>
      <c r="D6" s="310"/>
      <c r="E6" s="309"/>
      <c r="F6" s="309"/>
      <c r="G6" s="111" t="s">
        <v>188</v>
      </c>
      <c r="H6" s="138">
        <f>IF(OR('Model Inputs'!B14="NA",'Model Inputs'!D14="NA"),0,21.4285714285714%)</f>
        <v>0.214285714285714</v>
      </c>
      <c r="I6" s="152">
        <f>IF(SUM($H$4:$H$6)=0,21.4285714285714%,IF(H6=0,0,21.4285714285714%+(100%-SUM($H$4:$H$6))/(3-COUNTIF($H$4:$H$6,0))))</f>
        <v>0.214285714285714</v>
      </c>
      <c r="J6" s="132">
        <f>$B$4*$E$4*I6</f>
        <v>2.8285714285714247E-2</v>
      </c>
      <c r="K6" s="122">
        <f>IF('Model Inputs'!B14="NA",0,IF('Model Inputs'!B14&gt;15%,10,IF('Model Inputs'!B14&lt;0,0,'Model Inputs'!B14*10/15%)))</f>
        <v>0</v>
      </c>
      <c r="L6" s="112">
        <f>K6*$I6*$E4*$B$4*10</f>
        <v>0</v>
      </c>
      <c r="M6" s="162"/>
      <c r="N6" s="122">
        <f>IF('Model Inputs'!D14="NA",0,IF('Model Inputs'!D14&gt;15%,10,IF('Model Inputs'!D14&lt;0,0,'Model Inputs'!D14*10/15%)))</f>
        <v>0</v>
      </c>
      <c r="O6" s="112">
        <f>N6*$I6*$E4*$B$4*10</f>
        <v>0</v>
      </c>
      <c r="P6" s="162"/>
      <c r="Q6" s="151"/>
      <c r="R6" s="151"/>
    </row>
    <row r="7" spans="1:18" x14ac:dyDescent="0.3">
      <c r="A7" s="305"/>
      <c r="B7" s="307"/>
      <c r="C7" s="311" t="s">
        <v>189</v>
      </c>
      <c r="D7" s="312"/>
      <c r="E7" s="317">
        <v>0.28999999999999998</v>
      </c>
      <c r="F7" s="318"/>
      <c r="G7" s="111" t="s">
        <v>234</v>
      </c>
      <c r="H7" s="138">
        <f>IF(OR('Model Inputs'!B13="NA",'Model Inputs'!D13="NA"),0,8%)</f>
        <v>0.08</v>
      </c>
      <c r="I7" s="152">
        <f>IF(SUM($H$7:$H$17)=0,8%,IF(H7=0,0,8%+(100%-SUM($H$7:$H$17))/(7-COUNTIF($H$7:$H$17,0))))</f>
        <v>0.08</v>
      </c>
      <c r="J7" s="132">
        <f>$B$4*$E$7*I7</f>
        <v>9.2800000000000001E-3</v>
      </c>
      <c r="K7" s="122">
        <f>IF('Model Inputs'!B13="NA",0,IF('Model Inputs'!B13&gt;5%,0,IF('Model Inputs'!B13&lt;=0%,10,((5%-'Model Inputs'!B13)*10/5%))))</f>
        <v>10</v>
      </c>
      <c r="L7" s="112">
        <f>K7*$I7*$E7*$B$4*10</f>
        <v>0.92799999999999994</v>
      </c>
      <c r="M7" s="162"/>
      <c r="N7" s="122">
        <f>IF('Model Inputs'!D13="NA",0,IF('Model Inputs'!D13&gt;5%,0,IF('Model Inputs'!D13&lt;=0%,10,(5%-'Model Inputs'!D13)*10/5%)))</f>
        <v>10</v>
      </c>
      <c r="O7" s="112">
        <f>N7*$I7*$E7*$B$4*10</f>
        <v>0.92799999999999994</v>
      </c>
      <c r="P7" s="162"/>
      <c r="Q7" s="151"/>
      <c r="R7" s="151"/>
    </row>
    <row r="8" spans="1:18" x14ac:dyDescent="0.3">
      <c r="A8" s="305"/>
      <c r="B8" s="307"/>
      <c r="C8" s="313"/>
      <c r="D8" s="314"/>
      <c r="E8" s="319"/>
      <c r="F8" s="320"/>
      <c r="G8" s="111" t="s">
        <v>208</v>
      </c>
      <c r="H8" s="138">
        <f>IF(OR('Model Inputs'!B16="NA",'Model Inputs'!D16="NA"),0,8%)</f>
        <v>0.08</v>
      </c>
      <c r="I8" s="152">
        <f>IF(SUM($H$7:$H$17)=0,8%,IF(H8=0,0,8%+(100%-SUM($H$7:$H$17))/(7-COUNTIF($H$7:$H$17,0))))</f>
        <v>0.08</v>
      </c>
      <c r="J8" s="132">
        <f>$B$4*$E$7*I8</f>
        <v>9.2800000000000001E-3</v>
      </c>
      <c r="K8" s="122">
        <f>IF('Model Inputs'!B16="NA",0,IF('Model Inputs'!B16&gt;10%,0,IF('Model Inputs'!B16=0%,10,(10%-'Model Inputs'!B16)*10/10%)))</f>
        <v>10</v>
      </c>
      <c r="L8" s="112">
        <f>K8*$I8*$E7*$B$4*10</f>
        <v>0.92799999999999994</v>
      </c>
      <c r="M8" s="162"/>
      <c r="N8" s="122">
        <f>IF('Model Inputs'!D16="NA",0,IF('Model Inputs'!D16&gt;10%,0,IF('Model Inputs'!D16=0%,10,(10%-'Model Inputs'!D16)*10/10%)))</f>
        <v>10</v>
      </c>
      <c r="O8" s="112">
        <f>N8*$I8*$E7*$B$4*10</f>
        <v>0.92799999999999994</v>
      </c>
      <c r="P8" s="162"/>
      <c r="Q8" s="151"/>
      <c r="R8" s="151"/>
    </row>
    <row r="9" spans="1:18" x14ac:dyDescent="0.3">
      <c r="A9" s="305"/>
      <c r="B9" s="307"/>
      <c r="C9" s="313"/>
      <c r="D9" s="314"/>
      <c r="E9" s="319"/>
      <c r="F9" s="320"/>
      <c r="G9" s="111" t="s">
        <v>274</v>
      </c>
      <c r="H9" s="138" t="s">
        <v>281</v>
      </c>
      <c r="I9" s="138" t="s">
        <v>281</v>
      </c>
      <c r="J9" s="132"/>
      <c r="K9" s="112"/>
      <c r="L9" s="112">
        <f>IF('Model Inputs'!B20="NA",0,IF('Model Inputs'!B20&gt;300%,-2.5,IF('Model Inputs'!B20&gt;250%,-1.5,0)))</f>
        <v>0</v>
      </c>
      <c r="M9" s="162"/>
      <c r="N9" s="112"/>
      <c r="O9" s="112">
        <f>IF('Model Inputs'!D20="NA",0,IF('Model Inputs'!D20&gt;300%,-2.5,IF('Model Inputs'!D20&gt;250%,-1.5,0)))</f>
        <v>0</v>
      </c>
      <c r="P9" s="162"/>
      <c r="Q9" s="151"/>
      <c r="R9" s="151"/>
    </row>
    <row r="10" spans="1:18" x14ac:dyDescent="0.3">
      <c r="A10" s="305"/>
      <c r="B10" s="307"/>
      <c r="C10" s="313"/>
      <c r="D10" s="314"/>
      <c r="E10" s="319"/>
      <c r="F10" s="320"/>
      <c r="G10" s="111" t="s">
        <v>305</v>
      </c>
      <c r="H10" s="138" t="s">
        <v>281</v>
      </c>
      <c r="I10" s="138" t="s">
        <v>281</v>
      </c>
      <c r="J10" s="132"/>
      <c r="K10" s="112"/>
      <c r="L10" s="112">
        <f>IF('Model Inputs'!B30="NA",0,IF('Model Inputs'!B30&lt;30%,-2.5,IF('Model Inputs'!B30&lt;40%,-1.5,0)))</f>
        <v>-2.5</v>
      </c>
      <c r="M10" s="162"/>
      <c r="N10" s="112"/>
      <c r="O10" s="112">
        <f>IF('Model Inputs'!D30="NA",0,IF('Model Inputs'!D30&lt;30%,-2.5,IF('Model Inputs'!D30&lt;40%,-1.5,0)))</f>
        <v>-2.5</v>
      </c>
      <c r="P10" s="162"/>
      <c r="Q10" s="151"/>
      <c r="R10" s="151"/>
    </row>
    <row r="11" spans="1:18" x14ac:dyDescent="0.3">
      <c r="A11" s="305"/>
      <c r="B11" s="307"/>
      <c r="C11" s="313"/>
      <c r="D11" s="314"/>
      <c r="E11" s="319"/>
      <c r="F11" s="320"/>
      <c r="G11" s="111" t="s">
        <v>438</v>
      </c>
      <c r="H11" s="138" t="s">
        <v>281</v>
      </c>
      <c r="I11" s="138" t="s">
        <v>281</v>
      </c>
      <c r="J11" s="132"/>
      <c r="K11" s="112"/>
      <c r="L11" s="112">
        <f>IF('Model Inputs'!B21="NA",0,IF('Model Inputs'!B21&gt;40%,-2.5,IF('Model Inputs'!B21&gt;25%,-1.5,0)))</f>
        <v>0</v>
      </c>
      <c r="M11" s="162"/>
      <c r="N11" s="112"/>
      <c r="O11" s="112">
        <f>IF('Model Inputs'!D21="NA",0,IF('Model Inputs'!D21&gt;35%,-2.5,IF('Model Inputs'!D21&gt;25%,-1.5,0)))</f>
        <v>0</v>
      </c>
      <c r="P11" s="162"/>
      <c r="Q11" s="151"/>
      <c r="R11" s="151"/>
    </row>
    <row r="12" spans="1:18" x14ac:dyDescent="0.3">
      <c r="A12" s="305"/>
      <c r="B12" s="307"/>
      <c r="C12" s="313"/>
      <c r="D12" s="314"/>
      <c r="E12" s="319"/>
      <c r="F12" s="320"/>
      <c r="G12" s="111" t="s">
        <v>275</v>
      </c>
      <c r="H12" s="138">
        <f>IF(OR('Model Inputs'!B73="NA",'Model Inputs'!D73="NA"),0,12%)</f>
        <v>0.12</v>
      </c>
      <c r="I12" s="152">
        <f>IF(SUM($H$7:$H$17)=0,12%,IF(H12=0,0,12%+(100%-SUM($H$7:$H$17))/(7-COUNTIF($H$7:$H$17,0))))</f>
        <v>0.12</v>
      </c>
      <c r="J12" s="132">
        <f>$B$4*$E$7*I12</f>
        <v>1.3919999999999998E-2</v>
      </c>
      <c r="K12" s="122">
        <f>IF('Model Inputs'!B73="NA",0,IF('Model Inputs'!B73&lt;20%,10,IF('Model Inputs'!B73&gt;80%,0,(80%-'Model Inputs'!B73)*10/60%)))</f>
        <v>10</v>
      </c>
      <c r="L12" s="112">
        <f>K12*$I12*$E7*$B$4*10</f>
        <v>1.3919999999999999</v>
      </c>
      <c r="M12" s="162"/>
      <c r="N12" s="122">
        <f>IF('Model Inputs'!D73="NA",0,IF('Model Inputs'!D73&lt;20%,10,IF('Model Inputs'!D73&gt;80%,0,(80%-'Model Inputs'!D73)*10/60%)))</f>
        <v>10</v>
      </c>
      <c r="O12" s="112">
        <f>N12*$I12*$E7*$B$4*10</f>
        <v>1.3919999999999999</v>
      </c>
      <c r="P12" s="162"/>
      <c r="Q12" s="151"/>
      <c r="R12" s="151"/>
    </row>
    <row r="13" spans="1:18" x14ac:dyDescent="0.3">
      <c r="A13" s="305"/>
      <c r="B13" s="307"/>
      <c r="C13" s="313"/>
      <c r="D13" s="314"/>
      <c r="E13" s="319"/>
      <c r="F13" s="320"/>
      <c r="G13" s="111" t="s">
        <v>276</v>
      </c>
      <c r="H13" s="138" t="s">
        <v>281</v>
      </c>
      <c r="I13" s="138" t="s">
        <v>281</v>
      </c>
      <c r="J13" s="132"/>
      <c r="K13" s="112"/>
      <c r="L13" s="112">
        <f>IF('Model Inputs'!B26="NA",0,IF('Model Inputs'!B26&gt;30%,-2.5,IF('Model Inputs'!B26&gt;25%,-2,IF('Model Inputs'!B26&gt;20%,-1.5,0))))</f>
        <v>0</v>
      </c>
      <c r="M13" s="162"/>
      <c r="N13" s="112"/>
      <c r="O13" s="112">
        <f>IF('Model Inputs'!D26="NA",0,IF('Model Inputs'!D26&gt;30%,-2.5,IF('Model Inputs'!D26&gt;25%,-2,IF('Model Inputs'!D26&gt;20%,-1.5,0))))</f>
        <v>0</v>
      </c>
      <c r="P13" s="162"/>
      <c r="Q13" s="151"/>
      <c r="R13" s="151"/>
    </row>
    <row r="14" spans="1:18" x14ac:dyDescent="0.3">
      <c r="A14" s="305"/>
      <c r="B14" s="307"/>
      <c r="C14" s="313"/>
      <c r="D14" s="314"/>
      <c r="E14" s="319"/>
      <c r="F14" s="320"/>
      <c r="G14" s="111" t="s">
        <v>237</v>
      </c>
      <c r="H14" s="138">
        <f>IF(OR('Model Inputs'!B23="NA",'Model Inputs'!D23="NA"),0,10%)</f>
        <v>0.1</v>
      </c>
      <c r="I14" s="152">
        <f>IF(SUM($H$7:$H$17)=0,10%,IF(H14=0,0,10%+(100%-SUM($H$7:$H$17))/(7-COUNTIF($H$7:$H$17,0))))</f>
        <v>0.1</v>
      </c>
      <c r="J14" s="132">
        <f>$B$4*$E$7*I14</f>
        <v>1.1599999999999999E-2</v>
      </c>
      <c r="K14" s="122">
        <f>IF('Model Inputs'!B23="NA",0,IF('Model Inputs'!B23&lt;=0,10,IF('Model Inputs'!B23&gt;5%,0,(5%-'Model Inputs'!B23)*10/5%)))</f>
        <v>10</v>
      </c>
      <c r="L14" s="112">
        <f>K14*$I14*$E7*$B$4*10</f>
        <v>1.1599999999999999</v>
      </c>
      <c r="M14" s="162"/>
      <c r="N14" s="122">
        <f>IF('Model Inputs'!D23="NA",0,IF('Model Inputs'!D23&lt;=0,10,IF('Model Inputs'!D23&gt;5%,0,(5%-'Model Inputs'!D23)*10/5%)))</f>
        <v>10</v>
      </c>
      <c r="O14" s="112">
        <f>N14*$I14*$E7*$B$4*10</f>
        <v>1.1599999999999999</v>
      </c>
      <c r="P14" s="162"/>
      <c r="Q14" s="151"/>
      <c r="R14" s="151"/>
    </row>
    <row r="15" spans="1:18" x14ac:dyDescent="0.3">
      <c r="A15" s="305"/>
      <c r="B15" s="307"/>
      <c r="C15" s="313"/>
      <c r="D15" s="314"/>
      <c r="E15" s="319"/>
      <c r="F15" s="320"/>
      <c r="G15" s="111" t="s">
        <v>190</v>
      </c>
      <c r="H15" s="138">
        <f>IF(OR('Model Inputs'!B17="NA",'Model Inputs'!D17="NA"),0,12%)</f>
        <v>0.12</v>
      </c>
      <c r="I15" s="152">
        <f>IF(SUM($H$7:$H$17)=0,12%,IF(H15=0,0,12%+(100%-SUM($H$7:$H$17))/(7-COUNTIF($H$7:$H$17,0))))</f>
        <v>0.12</v>
      </c>
      <c r="J15" s="132">
        <f>$B$4*$E$7*I15</f>
        <v>1.3919999999999998E-2</v>
      </c>
      <c r="K15" s="122">
        <f>IF('Model Inputs'!B17="NA",0,IF('Model Inputs'!B17&lt;0,10,IF('Model Inputs'!B17&gt;5%,0,(5%-'Model Inputs'!B17)*10/5%)))</f>
        <v>10</v>
      </c>
      <c r="L15" s="112">
        <f>K15*$I15*$E7*$B$4*10</f>
        <v>1.3919999999999999</v>
      </c>
      <c r="M15" s="162"/>
      <c r="N15" s="122">
        <f>IF('Model Inputs'!D17="NA",0,IF('Model Inputs'!D17&lt;0,10,IF('Model Inputs'!D17&gt;5%,0,(5%-'Model Inputs'!D17)*10/5%)))</f>
        <v>10</v>
      </c>
      <c r="O15" s="112">
        <f>N15*$I15*$E7*$B$4*10</f>
        <v>1.3919999999999999</v>
      </c>
      <c r="P15" s="162"/>
      <c r="Q15" s="151"/>
      <c r="R15" s="151"/>
    </row>
    <row r="16" spans="1:18" x14ac:dyDescent="0.3">
      <c r="A16" s="305"/>
      <c r="B16" s="307"/>
      <c r="C16" s="313"/>
      <c r="D16" s="314"/>
      <c r="E16" s="319"/>
      <c r="F16" s="320"/>
      <c r="G16" s="111" t="s">
        <v>439</v>
      </c>
      <c r="H16" s="138">
        <f>IF(OR('Model Inputs'!B6="NA",'Model Inputs'!D6="NA"),0,30%)</f>
        <v>0.3</v>
      </c>
      <c r="I16" s="152">
        <f>IF(SUM($H$7:$H$17)=0,30%,IF(H16=0,0,30%+(100%-SUM($H$7:$H$17))/(7-COUNTIF($H$7:$H$17,0))))</f>
        <v>0.3</v>
      </c>
      <c r="J16" s="132">
        <f>$B$4*$E$7*I16</f>
        <v>3.4799999999999998E-2</v>
      </c>
      <c r="K16" s="122">
        <f>IF('Model Inputs'!B6="NA",0,IF('Model Inputs'!B6&lt;10%,0,IF('Model Inputs'!B6&gt;40%,10,('Model Inputs'!B6-10%)*10/30%)))</f>
        <v>0</v>
      </c>
      <c r="L16" s="112">
        <f>K16*$I16*$E7*$B$4*10</f>
        <v>0</v>
      </c>
      <c r="M16" s="162"/>
      <c r="N16" s="122">
        <f>IF('Model Inputs'!D6="NA",0,IF('Model Inputs'!D6&lt;10%,0,IF('Model Inputs'!D6&gt;40%,10,('Model Inputs'!B6-10%)*10/30%)))</f>
        <v>0</v>
      </c>
      <c r="O16" s="112">
        <f>N16*$I16*$E7*$B$4*10</f>
        <v>0</v>
      </c>
      <c r="P16" s="162"/>
      <c r="Q16" s="151"/>
      <c r="R16" s="151"/>
    </row>
    <row r="17" spans="1:28" x14ac:dyDescent="0.3">
      <c r="A17" s="305"/>
      <c r="B17" s="307"/>
      <c r="C17" s="315"/>
      <c r="D17" s="316"/>
      <c r="E17" s="321"/>
      <c r="F17" s="322"/>
      <c r="G17" s="111" t="s">
        <v>430</v>
      </c>
      <c r="H17" s="138">
        <f>IF(OR('Model Inputs'!B70="NA",'Model Inputs'!D70="NA"),0,20%)</f>
        <v>0.2</v>
      </c>
      <c r="I17" s="152">
        <f>IF(SUM($H$7:$H$17)=0,20%,IF(H17=0,0,20%+(100%-SUM($H$7:$H$17))/(7-COUNTIF($H$7:$H$17,0))))</f>
        <v>0.2</v>
      </c>
      <c r="J17" s="132"/>
      <c r="K17" s="122">
        <f>IF('Model Inputs'!B70="NA",0,IF('Model Inputs'!B70=4,5,IF('Model Inputs'!B70=3,3,IF('Model Inputs'!B70=2,1.5,IF('Model Inputs'!B70=1,0,0)))))</f>
        <v>0</v>
      </c>
      <c r="L17" s="112">
        <f>K17*$I17*$E7*$B$4*10</f>
        <v>0</v>
      </c>
      <c r="M17" s="162"/>
      <c r="N17" s="122">
        <f>IF('Model Inputs'!D70="NA",0,IF('Model Inputs'!D70=4,5,IF('Model Inputs'!D70=3,3,IF('Model Inputs'!D70=2,1.5,IF('Model Inputs'!D70=1,0,0)))))</f>
        <v>0</v>
      </c>
      <c r="O17" s="112">
        <f>N17*$I17*$E7*$B$4*10</f>
        <v>0</v>
      </c>
      <c r="P17" s="162"/>
      <c r="Q17" s="151"/>
      <c r="R17" s="151"/>
    </row>
    <row r="18" spans="1:28" x14ac:dyDescent="0.3">
      <c r="A18" s="305"/>
      <c r="B18" s="307"/>
      <c r="C18" s="308" t="s">
        <v>191</v>
      </c>
      <c r="D18" s="308"/>
      <c r="E18" s="309">
        <v>0.38</v>
      </c>
      <c r="F18" s="309"/>
      <c r="G18" s="111" t="s">
        <v>192</v>
      </c>
      <c r="H18" s="138">
        <f>IF(OR('Model Inputs'!B9="NA",'Model Inputs'!D9="NA"),0,30.3043866552682%)</f>
        <v>0.30304386655268201</v>
      </c>
      <c r="I18" s="152">
        <f>IF(SUM($H$18:$H$21)=0,30.3043866552682%,IF(H18=0,0,30.3043866552682%+(100%-SUM($H$18:$H$21))/(4-COUNTIF($H$18:$H$21,0))))</f>
        <v>0.30304386655268173</v>
      </c>
      <c r="J18" s="132">
        <f>$B$4*$E$18*I18</f>
        <v>4.606266771600763E-2</v>
      </c>
      <c r="K18" s="122">
        <f>IF('Model Inputs'!B9="NA",0,IF('Model Inputs'!B9&lt;4%,10,IF('Model Inputs'!B9&gt;6%,0,(6%-'Model Inputs'!B9)*10/2%)))</f>
        <v>10</v>
      </c>
      <c r="L18" s="112">
        <f>K18*$I18*$E$18*$B$4*10</f>
        <v>4.6062667716007626</v>
      </c>
      <c r="M18" s="162"/>
      <c r="N18" s="122">
        <f>IF('Model Inputs'!D9="NA",0,IF('Model Inputs'!D9&lt;4%,10,IF('Model Inputs'!D9&gt;6%,0,(6%-'Model Inputs'!D9)*10/2%)))</f>
        <v>10</v>
      </c>
      <c r="O18" s="112">
        <f>N18*$I18*$E$18*$B$4*10</f>
        <v>4.6062667716007626</v>
      </c>
      <c r="P18" s="162"/>
      <c r="Q18" s="151"/>
      <c r="R18" s="151"/>
    </row>
    <row r="19" spans="1:28" x14ac:dyDescent="0.3">
      <c r="A19" s="305"/>
      <c r="B19" s="307"/>
      <c r="C19" s="308"/>
      <c r="D19" s="308"/>
      <c r="E19" s="309"/>
      <c r="F19" s="309"/>
      <c r="G19" s="111" t="s">
        <v>236</v>
      </c>
      <c r="H19" s="138">
        <f>IF(OR('Model Inputs'!B22="NA",'Model Inputs'!D22="NA"),0,24.2435335677481%)</f>
        <v>0.24243533567748099</v>
      </c>
      <c r="I19" s="152">
        <f>IF(SUM($H$18:$H$21)=0,24.2435335677481%,IF(H19=0,0,24.2435335677481%+(100%-SUM($H$18:$H$21))/(4-COUNTIF($H$18:$H$21,0))))</f>
        <v>0.24243533567748071</v>
      </c>
      <c r="J19" s="132">
        <f>$B$4*$E$18*I19</f>
        <v>3.6850171022977073E-2</v>
      </c>
      <c r="K19" s="122">
        <f>IF('Model Inputs'!B22="NA",0,IF('Model Inputs'!B22&gt;80%,0,IF('Model Inputs'!B22&lt;40%,10,(80%-'Model Inputs'!B22)*10/40%)))</f>
        <v>10</v>
      </c>
      <c r="L19" s="112">
        <f>K19*$I19*$E$18*$B$4*10</f>
        <v>3.685017102297707</v>
      </c>
      <c r="M19" s="162"/>
      <c r="N19" s="122">
        <f>IF('Model Inputs'!D22="NA",0,IF('Model Inputs'!D22&gt;80%,0,IF('Model Inputs'!D22&lt;40%,10,(80%-'Model Inputs'!D22)*10/40%)))</f>
        <v>10</v>
      </c>
      <c r="O19" s="112">
        <f>N19*$I19*$E$18*$B$4*10</f>
        <v>3.685017102297707</v>
      </c>
      <c r="P19" s="162"/>
      <c r="Q19" s="151"/>
      <c r="R19" s="151"/>
    </row>
    <row r="20" spans="1:28" x14ac:dyDescent="0.3">
      <c r="A20" s="305"/>
      <c r="B20" s="307"/>
      <c r="C20" s="308"/>
      <c r="D20" s="308"/>
      <c r="E20" s="309"/>
      <c r="F20" s="309"/>
      <c r="G20" s="111" t="s">
        <v>207</v>
      </c>
      <c r="H20" s="138">
        <f>IF(OR('Model Inputs'!B15="NA",'Model Inputs'!D15="NA"),0,30.3013865179892%)</f>
        <v>0.30301386517989198</v>
      </c>
      <c r="I20" s="152">
        <f>IF(SUM($H$18:$H$21)=0,30.3013865179892%,IF(H20=0,0,30.3013865179892%+(100%-SUM($H$18:$H$21))/(4-COUNTIF($H$18:$H$21,0))))</f>
        <v>0.30301386517989171</v>
      </c>
      <c r="J20" s="132">
        <f>$B$4*$E$18*I20</f>
        <v>4.605810750734355E-2</v>
      </c>
      <c r="K20" s="122">
        <f>IF('Model Inputs'!B15="NA",0,IF('Model Inputs'!B15&gt;5000,10,'Model Inputs'!B15*10/5000))</f>
        <v>0</v>
      </c>
      <c r="L20" s="112">
        <f>K20*$I20*$E$18*$B$4*10</f>
        <v>0</v>
      </c>
      <c r="M20" s="162"/>
      <c r="N20" s="122">
        <f>IF('Model Inputs'!D15="NA",0,IF('Model Inputs'!D15&gt;5000,10,'Model Inputs'!D15*10/5000))</f>
        <v>0</v>
      </c>
      <c r="O20" s="112">
        <f>N20*$I20*$E$18*$B$4*10</f>
        <v>0</v>
      </c>
      <c r="P20" s="162"/>
      <c r="Q20" s="151"/>
      <c r="R20" s="151"/>
    </row>
    <row r="21" spans="1:28" x14ac:dyDescent="0.3">
      <c r="A21" s="306"/>
      <c r="B21" s="307"/>
      <c r="C21" s="308"/>
      <c r="D21" s="308"/>
      <c r="E21" s="309"/>
      <c r="F21" s="309"/>
      <c r="G21" s="111" t="s">
        <v>193</v>
      </c>
      <c r="H21" s="138">
        <f>IF(OR('Model Inputs'!B18="NA",'Model Inputs'!D18="NA"),0,15.1506932589946%)</f>
        <v>0.15150693258994599</v>
      </c>
      <c r="I21" s="152">
        <f>IF(SUM($H$18:$H$21)=0,15.1506932589946%,IF(H21=0,0,15.1506932589946%+(100%-SUM($H$18:$H$21))/(4-COUNTIF($H$18:$H$21,0))))</f>
        <v>0.15150693258994571</v>
      </c>
      <c r="J21" s="132">
        <f>$B$4*$E$18*I21</f>
        <v>2.3029053753671751E-2</v>
      </c>
      <c r="K21" s="122">
        <f>IF('Model Inputs'!B18="NA",0,IF('Model Inputs'!B18&gt;20%,10,'Model Inputs'!B18*10/20%))</f>
        <v>0</v>
      </c>
      <c r="L21" s="112">
        <f>K21*$I21*$E$18*$B$4*10</f>
        <v>0</v>
      </c>
      <c r="M21" s="162"/>
      <c r="N21" s="122">
        <f>IF('Model Inputs'!D18="NA",0,IF('Model Inputs'!D18&gt;20%,10,'Model Inputs'!D18*10/20%))</f>
        <v>0</v>
      </c>
      <c r="O21" s="112">
        <f>N21*$I21*$E$18*$B$4*10</f>
        <v>0</v>
      </c>
      <c r="P21" s="162"/>
      <c r="Q21" s="151"/>
      <c r="R21" s="151"/>
    </row>
    <row r="22" spans="1:28" x14ac:dyDescent="0.3">
      <c r="A22" s="268" t="s">
        <v>194</v>
      </c>
      <c r="B22" s="271">
        <v>0.25</v>
      </c>
      <c r="C22" s="262" t="s">
        <v>195</v>
      </c>
      <c r="D22" s="263"/>
      <c r="E22" s="274">
        <v>0.22</v>
      </c>
      <c r="F22" s="275"/>
      <c r="G22" s="113" t="s">
        <v>196</v>
      </c>
      <c r="H22" s="126">
        <f>IF(OR('Model Inputs'!B4="NA",'Model Inputs'!D4="NA"),0,100%)</f>
        <v>1</v>
      </c>
      <c r="I22" s="126">
        <f>IF(SUM($H$24:$H$25)=0,100%,IF(#REF!=0,0,100%+(100%-SUM($H$24:$H$25))/(2-COUNTIF($H$24:$H$25,0))))</f>
        <v>1</v>
      </c>
      <c r="J22" s="132"/>
      <c r="K22" s="196">
        <f>IF('Model Inputs'!B4="NA",0,IF('Model Inputs'!B4&gt;95%,0,IF('Model Inputs'!B4&lt;45%,0,('Model Inputs'!B4-45%)*10/50%)))</f>
        <v>0</v>
      </c>
      <c r="L22" s="114">
        <f>K22*$I22*$E$22*$B$22*10</f>
        <v>0</v>
      </c>
      <c r="M22" s="162"/>
      <c r="N22" s="196">
        <f>IF('Model Inputs'!D4="NA",0,IF('Model Inputs'!D4&gt;95%,0,IF('Model Inputs'!D4&lt;45%,0,('Model Inputs'!D4-45%)*10/50%)))</f>
        <v>0</v>
      </c>
      <c r="O22" s="114">
        <f>N22*$I22*$E$22*$B$22*10</f>
        <v>0</v>
      </c>
      <c r="P22" s="162"/>
      <c r="Q22" s="151"/>
      <c r="R22" s="151"/>
    </row>
    <row r="23" spans="1:28" x14ac:dyDescent="0.3">
      <c r="A23" s="269"/>
      <c r="B23" s="272"/>
      <c r="C23" s="264"/>
      <c r="D23" s="265"/>
      <c r="E23" s="276"/>
      <c r="F23" s="277"/>
      <c r="G23" s="113" t="s">
        <v>432</v>
      </c>
      <c r="H23" s="126" t="s">
        <v>431</v>
      </c>
      <c r="I23" s="126" t="s">
        <v>431</v>
      </c>
      <c r="J23" s="132"/>
      <c r="K23" s="196"/>
      <c r="L23" s="114">
        <f>IF('Model Inputs'!B54=4,5,IF('Model Inputs'!B54=3,3,IF('Model Inputs'!B54=2,1.5,0)))</f>
        <v>0</v>
      </c>
      <c r="M23" s="162"/>
      <c r="N23" s="196"/>
      <c r="O23" s="114">
        <f>IF('Model Inputs'!D54=4,5,IF('Model Inputs'!D54=3,3,IF('Model Inputs'!D54=2,1.5,0)))</f>
        <v>0</v>
      </c>
      <c r="P23" s="162"/>
      <c r="Q23" s="151"/>
      <c r="R23" s="151"/>
    </row>
    <row r="24" spans="1:28" x14ac:dyDescent="0.3">
      <c r="A24" s="269"/>
      <c r="B24" s="272"/>
      <c r="C24" s="264"/>
      <c r="D24" s="265"/>
      <c r="E24" s="276"/>
      <c r="F24" s="277"/>
      <c r="G24" s="113" t="s">
        <v>291</v>
      </c>
      <c r="H24" s="126" t="s">
        <v>281</v>
      </c>
      <c r="I24" s="126" t="s">
        <v>281</v>
      </c>
      <c r="J24" s="132"/>
      <c r="K24" s="196"/>
      <c r="L24" s="114">
        <f>IF('Model Inputs'!B27="NA",0,IF('Model Inputs'!B27&lt;100%,-2.5,0))</f>
        <v>-2.5</v>
      </c>
      <c r="M24" s="162"/>
      <c r="N24" s="196"/>
      <c r="O24" s="114">
        <f>IF('Model Inputs'!D27="NA",0,IF('Model Inputs'!D27&lt;100%,-2.5,0))</f>
        <v>-2.5</v>
      </c>
      <c r="P24" s="162"/>
      <c r="Q24" s="151"/>
      <c r="R24" s="151"/>
      <c r="S24"/>
      <c r="T24"/>
      <c r="U24"/>
      <c r="V24"/>
      <c r="W24"/>
      <c r="X24"/>
      <c r="Y24"/>
      <c r="Z24"/>
      <c r="AA24"/>
      <c r="AB24"/>
    </row>
    <row r="25" spans="1:28" x14ac:dyDescent="0.3">
      <c r="A25" s="269"/>
      <c r="B25" s="272"/>
      <c r="C25" s="266"/>
      <c r="D25" s="267"/>
      <c r="E25" s="278"/>
      <c r="F25" s="279"/>
      <c r="G25" s="113" t="s">
        <v>277</v>
      </c>
      <c r="H25" s="126" t="s">
        <v>281</v>
      </c>
      <c r="I25" s="139" t="s">
        <v>281</v>
      </c>
      <c r="J25" s="132"/>
      <c r="K25" s="188"/>
      <c r="L25" s="114">
        <f>IF('Model Inputs'!B25="NA",0,IF('Model Inputs'!B25&gt;100%,0,IF('Model Inputs'!B25&lt;90%,-2.5,IF('Model Inputs'!B25&lt;100%,-1.5,0))))</f>
        <v>-2.5</v>
      </c>
      <c r="M25" s="162"/>
      <c r="N25" s="188"/>
      <c r="O25" s="114">
        <f>IF('Model Inputs'!D25="NA",0,IF('Model Inputs'!D25&gt;100%,0,IF('Model Inputs'!D25&lt;90%,-2.5,IF('Model Inputs'!D25&lt;100%,-1.5,0))))</f>
        <v>-2.5</v>
      </c>
      <c r="P25" s="162"/>
      <c r="Q25" s="151"/>
      <c r="R25" s="151"/>
    </row>
    <row r="26" spans="1:28" x14ac:dyDescent="0.3">
      <c r="A26" s="269"/>
      <c r="B26" s="272"/>
      <c r="C26" s="283" t="s">
        <v>197</v>
      </c>
      <c r="D26" s="283"/>
      <c r="E26" s="284">
        <v>0.56999999999999995</v>
      </c>
      <c r="F26" s="284"/>
      <c r="G26" s="113" t="s">
        <v>198</v>
      </c>
      <c r="H26" s="126">
        <f>IF(OR('Model Inputs'!B10="NA",'Model Inputs'!D10="NA"),0,16.1290322580645%)</f>
        <v>0.16129032258064499</v>
      </c>
      <c r="I26" s="126">
        <f>IF(SUM($H$26:$H$32)=0,16.1290322580645%,IF(H26=0,0,16.1290322580645%+(100%-SUM($H$26:$H$32))/(6-COUNTIF($H$26:$H$32,0))))</f>
        <v>0.16129032258064499</v>
      </c>
      <c r="J26" s="132">
        <f>$B$22*$E$26*I26</f>
        <v>2.2983870967741907E-2</v>
      </c>
      <c r="K26" s="196">
        <f>IF('Model Inputs'!B10="NA",0,IF('Model Inputs'!B10&lt;14%,0,IF('Model Inputs'!B10&gt;16%,10,('Model Inputs'!B10-14%)*10/2%)))</f>
        <v>0</v>
      </c>
      <c r="L26" s="114">
        <f>K26*$I26*$E$26*$B$22*10</f>
        <v>0</v>
      </c>
      <c r="M26" s="162"/>
      <c r="N26" s="196">
        <f>IF('Model Inputs'!D10="NA",0,IF('Model Inputs'!D10&lt;14%,0,IF('Model Inputs'!D10&gt;16%,10,('Model Inputs'!D10-14%)*10/2%)))</f>
        <v>0</v>
      </c>
      <c r="O26" s="114">
        <f>N26*$I26*$E$26*$B$22*10</f>
        <v>0</v>
      </c>
      <c r="P26" s="162"/>
      <c r="Q26" s="151"/>
      <c r="R26" s="151"/>
    </row>
    <row r="27" spans="1:28" x14ac:dyDescent="0.3">
      <c r="A27" s="269"/>
      <c r="B27" s="272"/>
      <c r="C27" s="283"/>
      <c r="D27" s="283"/>
      <c r="E27" s="284"/>
      <c r="F27" s="284"/>
      <c r="G27" s="113" t="s">
        <v>199</v>
      </c>
      <c r="H27" s="126">
        <f>IF(OR('Model Inputs'!B2="NA",'Model Inputs'!D2="NA"),0,48.3870967741936%)</f>
        <v>0.483870967741936</v>
      </c>
      <c r="I27" s="126">
        <f>IF(SUM($H$26:$H$32)=0,48.3870967741936%,IF(H27=0,0,48.3870967741936%+(100%-SUM($H$26:$H$32))/(6-COUNTIF($H$26:$H$32,0))))</f>
        <v>0.483870967741936</v>
      </c>
      <c r="J27" s="132">
        <f>$B$22*$E$26*I27</f>
        <v>6.8951612903225878E-2</v>
      </c>
      <c r="K27" s="196">
        <f>IF('Model Inputs'!B2="NA",0,IF('Model Inputs'!B2&lt;10000,0,10))</f>
        <v>0</v>
      </c>
      <c r="L27" s="114">
        <f>K27*$I27*$E$26*$B$22*10</f>
        <v>0</v>
      </c>
      <c r="M27" s="162"/>
      <c r="N27" s="196">
        <f>IF('Model Inputs'!D2="NA",0,IF('Model Inputs'!D2&lt;10000,0,10))</f>
        <v>0</v>
      </c>
      <c r="O27" s="114">
        <f>N27*$I27*$E$26*$B$22*10</f>
        <v>0</v>
      </c>
      <c r="P27" s="162"/>
      <c r="Q27" s="151"/>
      <c r="R27" s="151"/>
    </row>
    <row r="28" spans="1:28" x14ac:dyDescent="0.3">
      <c r="A28" s="269"/>
      <c r="B28" s="272"/>
      <c r="C28" s="283"/>
      <c r="D28" s="283"/>
      <c r="E28" s="284"/>
      <c r="F28" s="284"/>
      <c r="G28" s="113" t="s">
        <v>341</v>
      </c>
      <c r="H28" s="126">
        <f>IF(OR('Model Inputs'!B11="NA",'Model Inputs'!D11="NA"),0,12.9032258064516%/2)</f>
        <v>6.4516129032257993E-2</v>
      </c>
      <c r="I28" s="126">
        <f>IF(SUM($H$26:$H$32)=0,12.9032258064516%/2,IF(H28=0,0,12.9032258064516%/2+(100%-SUM($H$26:$H$32))/(6-COUNTIF($H$26:$H$32,0))))</f>
        <v>6.4516129032257993E-2</v>
      </c>
      <c r="J28" s="132"/>
      <c r="K28" s="196">
        <f>IF('Model Inputs'!B11="NA",0,IF('Model Inputs'!B11&lt;11%,0,IF('Model Inputs'!B11&gt;13%,10,('Model Inputs'!B11-11%)*10/2%)))</f>
        <v>0</v>
      </c>
      <c r="L28" s="114">
        <f>K28*$I28*$E$26*$B$22*10</f>
        <v>0</v>
      </c>
      <c r="M28" s="162"/>
      <c r="N28" s="196">
        <f>IF('Model Inputs'!D11="NA",0,IF('Model Inputs'!D11&lt;11%,0,IF('Model Inputs'!D11&gt;13%,10,('Model Inputs'!D11-11%)*10/2%)))</f>
        <v>0</v>
      </c>
      <c r="O28" s="114">
        <f>N28*$I28*$E$26*$B$22*10</f>
        <v>0</v>
      </c>
      <c r="P28" s="162"/>
      <c r="Q28" s="151"/>
      <c r="R28" s="151"/>
    </row>
    <row r="29" spans="1:28" x14ac:dyDescent="0.3">
      <c r="A29" s="269"/>
      <c r="B29" s="272"/>
      <c r="C29" s="283"/>
      <c r="D29" s="283"/>
      <c r="E29" s="284"/>
      <c r="F29" s="284"/>
      <c r="G29" s="113" t="s">
        <v>304</v>
      </c>
      <c r="H29" s="126">
        <f>IF(OR('Model Inputs'!B12="NA",'Model Inputs'!D12="NA"),0,12.9032258064516%/2)</f>
        <v>6.4516129032257993E-2</v>
      </c>
      <c r="I29" s="126">
        <f>IF(SUM($H$26:$H$32)=0,12.9032258064516%/2,IF(H29=0,0,12.9032258064516%/2+(100%-SUM($H$26:$H$32))/(6-COUNTIF($H$26:$H$32,0))))</f>
        <v>6.4516129032257993E-2</v>
      </c>
      <c r="J29" s="132">
        <f>$B$22*$E$26*I29</f>
        <v>9.1935483870967637E-3</v>
      </c>
      <c r="K29" s="196">
        <f>IF('Model Inputs'!B12="NA",0,IF('Model Inputs'!B12&lt;5.5%,0,IF('Model Inputs'!B12&gt;9.5%,10,('Model Inputs'!B12-5.5%)*10/4%)))</f>
        <v>0</v>
      </c>
      <c r="L29" s="114">
        <f>K29*$I29*$E$26*$B$22*10</f>
        <v>0</v>
      </c>
      <c r="M29" s="162"/>
      <c r="N29" s="196">
        <f>IF('Model Inputs'!D12="NA",0,IF('Model Inputs'!D12&lt;5.5%,0,IF('Model Inputs'!D12&gt;9.5%,10,('Model Inputs'!D12-5.5%)*10/4%)))</f>
        <v>0</v>
      </c>
      <c r="O29" s="114">
        <f>N29*$I29*$E$26*$B$22*10</f>
        <v>0</v>
      </c>
      <c r="P29" s="162"/>
      <c r="Q29" s="151"/>
      <c r="R29" s="151"/>
    </row>
    <row r="30" spans="1:28" x14ac:dyDescent="0.3">
      <c r="A30" s="269"/>
      <c r="B30" s="272"/>
      <c r="C30" s="283"/>
      <c r="D30" s="283"/>
      <c r="E30" s="284"/>
      <c r="F30" s="284"/>
      <c r="G30" s="113" t="s">
        <v>381</v>
      </c>
      <c r="H30" s="126">
        <f>IF(OR('Model Inputs'!B28="NA",'Model Inputs'!D28="NA"),0,12.9032258064516%)</f>
        <v>0.12903225806451599</v>
      </c>
      <c r="I30" s="126">
        <f>IF(SUM($H$26:$H$32)=0,12.9032258064516%,IF(H30=0,0,12.9032258064516%+(100%-SUM($H$26:$H$32))/(6-COUNTIF($H$26:$H$32,0))))</f>
        <v>0.12903225806451599</v>
      </c>
      <c r="J30" s="173">
        <f>$B$22*$E$26*I30</f>
        <v>1.8387096774193527E-2</v>
      </c>
      <c r="K30" s="196">
        <f>IF('Model Inputs'!B28="NA",0,IF('Model Inputs'!B28&lt;5,10,IF('Model Inputs'!B28&gt;15,0,((15-'Model Inputs'!B28)*10/(15-5)))))</f>
        <v>10</v>
      </c>
      <c r="L30" s="114">
        <f>K30*$I30*$E$26*$B$22*10</f>
        <v>1.8387096774193525</v>
      </c>
      <c r="M30" s="174"/>
      <c r="N30" s="196">
        <f>IF('Model Inputs'!D28="NA",0,IF('Model Inputs'!D28&lt;5,10,IF('Model Inputs'!D28&gt;15,0,((15-'Model Inputs'!D28)*10/(15-5)))))</f>
        <v>10</v>
      </c>
      <c r="O30" s="114">
        <f>N30*$I30*$E$26*$B$22*10</f>
        <v>1.8387096774193525</v>
      </c>
      <c r="P30" s="174"/>
      <c r="Q30" s="165"/>
      <c r="R30" s="151"/>
    </row>
    <row r="31" spans="1:28" x14ac:dyDescent="0.3">
      <c r="A31" s="269"/>
      <c r="B31" s="272"/>
      <c r="C31" s="283"/>
      <c r="D31" s="283"/>
      <c r="E31" s="284"/>
      <c r="F31" s="284"/>
      <c r="G31" s="113" t="s">
        <v>290</v>
      </c>
      <c r="H31" s="126" t="s">
        <v>281</v>
      </c>
      <c r="I31" s="126" t="s">
        <v>281</v>
      </c>
      <c r="J31" s="173"/>
      <c r="K31" s="196"/>
      <c r="L31" s="114">
        <f>IF('Model Inputs'!B29="NA",0,IF('Model Inputs'!B29&lt;3.5%,-2.5,0))</f>
        <v>-2.5</v>
      </c>
      <c r="M31" s="174"/>
      <c r="N31" s="196"/>
      <c r="O31" s="114">
        <f>IF('Model Inputs'!D29="NA",0,IF('Model Inputs'!D29&lt;3.5%,-2.5,0))</f>
        <v>-2.5</v>
      </c>
      <c r="P31" s="174"/>
      <c r="Q31" s="165"/>
      <c r="R31" s="151"/>
    </row>
    <row r="32" spans="1:28" x14ac:dyDescent="0.3">
      <c r="A32" s="269"/>
      <c r="B32" s="272"/>
      <c r="C32" s="283"/>
      <c r="D32" s="283"/>
      <c r="E32" s="284"/>
      <c r="F32" s="284"/>
      <c r="G32" s="113" t="s">
        <v>200</v>
      </c>
      <c r="H32" s="126">
        <f>IF(OR('Model Inputs'!B19="NA",'Model Inputs'!D19="NA"),0,9.67741935483871%)</f>
        <v>9.6774193548387094E-2</v>
      </c>
      <c r="I32" s="126">
        <f>IF(SUM($H$26:$H$32)=0,9.67741935483871%,IF(H32=0,0,9.67741935483871%+(100%-SUM($H$26:$H$32))/(6-COUNTIF($H$26:$H$32,0))))</f>
        <v>9.6774193548387094E-2</v>
      </c>
      <c r="J32" s="132">
        <f>$B$22*$E$26*I32</f>
        <v>1.3790322580645159E-2</v>
      </c>
      <c r="K32" s="196">
        <f>IF('Model Inputs'!B19="NA",0,IF('Model Inputs'!B19&lt;1,0,IF('Model Inputs'!B19&gt;10,10,('Model Inputs'!B19-1)*10/9)))</f>
        <v>0</v>
      </c>
      <c r="L32" s="114">
        <f>K32*$I32*$E$26*$B$22*10</f>
        <v>0</v>
      </c>
      <c r="M32" s="162"/>
      <c r="N32" s="196">
        <f>IF('Model Inputs'!D19="NA",0,IF('Model Inputs'!D19&lt;1,0,IF('Model Inputs'!D19&gt;10,10,('Model Inputs'!D19-1)*10/9)))</f>
        <v>0</v>
      </c>
      <c r="O32" s="114">
        <f>N32*$I32*$E$26*$B$22*10</f>
        <v>0</v>
      </c>
      <c r="P32" s="162"/>
      <c r="Q32" s="151"/>
      <c r="R32" s="151"/>
    </row>
    <row r="33" spans="1:18" x14ac:dyDescent="0.3">
      <c r="A33" s="269"/>
      <c r="B33" s="272"/>
      <c r="C33" s="283" t="s">
        <v>201</v>
      </c>
      <c r="D33" s="283"/>
      <c r="E33" s="284">
        <v>0.21</v>
      </c>
      <c r="F33" s="284"/>
      <c r="G33" s="113" t="s">
        <v>398</v>
      </c>
      <c r="H33" s="126">
        <f>IF(OR('Model Inputs'!B8="NA",'Model Inputs'!D8="NA"),0,36.3652893313332%)</f>
        <v>0.363652893313332</v>
      </c>
      <c r="I33" s="126">
        <f>IF(SUM($H$33:$H$35)=0,36.3652893313332%,IF(H33=0,0,36.3652893313332%+(100%-SUM($H$33:$H$35))/(3-COUNTIF($H$33:$H$35,0))))</f>
        <v>0.36365289331333239</v>
      </c>
      <c r="J33" s="132">
        <f>$B$22*$E$33*I33</f>
        <v>1.909177689894995E-2</v>
      </c>
      <c r="K33" s="196">
        <f>IF('Model Inputs'!B8="NA",0,IF('Model Inputs'!B8&lt;0,0,IF('Model Inputs'!B8&gt;18%,10,('Model Inputs'!B8*10/18%))))</f>
        <v>0</v>
      </c>
      <c r="L33" s="114">
        <f>K33*$I33*$E$33*$B$22*10</f>
        <v>0</v>
      </c>
      <c r="M33" s="162"/>
      <c r="N33" s="196">
        <f>IF('Model Inputs'!D8="NA",0,IF('Model Inputs'!D8&lt;0,0,IF('Model Inputs'!D8&gt;18%,10,('Model Inputs'!D8*10/18%))))</f>
        <v>0</v>
      </c>
      <c r="O33" s="114">
        <f>N33*$I33*$E$33*$B$22*10</f>
        <v>0</v>
      </c>
      <c r="P33" s="162"/>
      <c r="Q33" s="151"/>
      <c r="R33" s="151"/>
    </row>
    <row r="34" spans="1:18" x14ac:dyDescent="0.3">
      <c r="A34" s="269"/>
      <c r="B34" s="272"/>
      <c r="C34" s="283"/>
      <c r="D34" s="283"/>
      <c r="E34" s="284"/>
      <c r="F34" s="284"/>
      <c r="G34" s="113" t="s">
        <v>238</v>
      </c>
      <c r="H34" s="126">
        <f>IF(OR('Model Inputs'!B24="NA",'Model Inputs'!D24="NA"),0,18.1826446656666%)</f>
        <v>0.181826446656666</v>
      </c>
      <c r="I34" s="126">
        <f>IF(SUM($H$33:$H$35)=0,18.1826446656666%,IF(H34=0,0,18.1826446656666%+(100%-SUM($H$33:$H$35))/(3-COUNTIF($H$33:$H$35,0))))</f>
        <v>0.18182644665666636</v>
      </c>
      <c r="J34" s="132">
        <f>$B$22*$E$33*I34</f>
        <v>9.5458884494749839E-3</v>
      </c>
      <c r="K34" s="196">
        <f>IF('Model Inputs'!B24="NA",0,IF('Model Inputs'!B24&lt;1,0,IF('Model Inputs'!B24&gt;5,10,('Model Inputs'!B24-1)*10/4)))</f>
        <v>0</v>
      </c>
      <c r="L34" s="114">
        <f>K34*$I34*$E$33*$B$22*10</f>
        <v>0</v>
      </c>
      <c r="M34" s="162"/>
      <c r="N34" s="196">
        <f>IF('Model Inputs'!D24="NA",0,IF('Model Inputs'!D24&lt;1,0,IF('Model Inputs'!D24&gt;5,10,('Model Inputs'!D24-1)*10/4)))</f>
        <v>0</v>
      </c>
      <c r="O34" s="114">
        <f>N34*$I34*$E$33*$B$22*10</f>
        <v>0</v>
      </c>
      <c r="P34" s="162"/>
      <c r="Q34" s="151"/>
      <c r="R34" s="151"/>
    </row>
    <row r="35" spans="1:18" x14ac:dyDescent="0.3">
      <c r="A35" s="270"/>
      <c r="B35" s="273"/>
      <c r="C35" s="283"/>
      <c r="D35" s="283"/>
      <c r="E35" s="284"/>
      <c r="F35" s="284"/>
      <c r="G35" s="113" t="s">
        <v>183</v>
      </c>
      <c r="H35" s="126">
        <f>IF(OR('Model Inputs'!B7="NA",'Model Inputs'!D7="NA"),0,45.4520660030001%)</f>
        <v>0.45452066003000097</v>
      </c>
      <c r="I35" s="126">
        <f>IF(SUM($H$33:$H$35)=0,45.4520660030001%,IF(H35=0,0,45.4520660030001%+(100%-SUM($H$33:$H$35))/(3-COUNTIF($H$33:$H$35,0))))</f>
        <v>0.45452066003000136</v>
      </c>
      <c r="J35" s="132">
        <f>$B$22*$E$33*I35</f>
        <v>2.3862334651575071E-2</v>
      </c>
      <c r="K35" s="196">
        <f>IF('Model Inputs'!B7="NA",0,IF('Model Inputs'!B7&lt;0,0,IF('Model Inputs'!B7&gt;2%,10,('Model Inputs'!B7*10/2%))))</f>
        <v>0</v>
      </c>
      <c r="L35" s="114">
        <f>K35*$I35*$E$33*$B$22*10</f>
        <v>0</v>
      </c>
      <c r="M35" s="162"/>
      <c r="N35" s="196">
        <f>IF('Model Inputs'!D7="NA",0,IF('Model Inputs'!D7&lt;0,0,IF('Model Inputs'!D7&gt;2%,10,('Model Inputs'!D7*10/2%))))</f>
        <v>0</v>
      </c>
      <c r="O35" s="114">
        <f>N35*$I35*$E$33*$B$22*10</f>
        <v>0</v>
      </c>
      <c r="P35" s="162"/>
      <c r="Q35" s="151"/>
      <c r="R35" s="151"/>
    </row>
    <row r="36" spans="1:18" x14ac:dyDescent="0.3">
      <c r="A36" s="291" t="s">
        <v>202</v>
      </c>
      <c r="B36" s="291"/>
      <c r="C36" s="291"/>
      <c r="D36" s="291"/>
      <c r="E36" s="285">
        <v>0.25</v>
      </c>
      <c r="F36" s="286"/>
      <c r="G36" s="156" t="str">
        <f>'Model Inputs'!A56</f>
        <v>Business Model</v>
      </c>
      <c r="H36" s="154">
        <f>IF(OR('Model Inputs'!B56="NA",'Model Inputs'!D56="NA"),0,7.69230769230769%)</f>
        <v>7.69230769230769E-2</v>
      </c>
      <c r="I36" s="137">
        <f>IF(SUM($H$36:$H$49)=0,7.69230769230769%,IF(H36=0,0,7.69230769230769%+(100%-SUM($H$36:$H$49))/(13-COUNTIF($H$36:$H$49,0))))</f>
        <v>7.6923076923076941E-2</v>
      </c>
      <c r="J36" s="132">
        <f>$E$36*I36</f>
        <v>1.9230769230769235E-2</v>
      </c>
      <c r="K36" s="115">
        <f>IF('Model Inputs'!B56="NA",0,'Model Inputs'!B56*2)</f>
        <v>0</v>
      </c>
      <c r="L36" s="115">
        <f>K36*I36*$E$36*10</f>
        <v>0</v>
      </c>
      <c r="M36" s="162"/>
      <c r="N36" s="115">
        <f>IF('Model Inputs'!D56="NA",0,'Model Inputs'!D56*2)</f>
        <v>0</v>
      </c>
      <c r="O36" s="115">
        <f>K36*I36*$E$36*10</f>
        <v>0</v>
      </c>
      <c r="P36" s="162"/>
      <c r="Q36" s="151"/>
      <c r="R36" s="151"/>
    </row>
    <row r="37" spans="1:18" x14ac:dyDescent="0.3">
      <c r="A37" s="291"/>
      <c r="B37" s="291"/>
      <c r="C37" s="291"/>
      <c r="D37" s="291"/>
      <c r="E37" s="287"/>
      <c r="F37" s="288"/>
      <c r="G37" s="156" t="str">
        <f>'Model Inputs'!A57</f>
        <v>Management Quality</v>
      </c>
      <c r="H37" s="154">
        <f>IF(OR('Model Inputs'!B57="NA",'Model Inputs'!D57="NA"),0,7.69230769230769%)</f>
        <v>7.69230769230769E-2</v>
      </c>
      <c r="I37" s="137">
        <f>IF(SUM($H$36:$H$49)=0,7.69230769230769%,IF(H37=0,0,7.69230769230769%+(100%-SUM($H$36:$H$49))/(13-COUNTIF($H$36:$H$49,0))))</f>
        <v>7.6923076923076941E-2</v>
      </c>
      <c r="J37" s="132">
        <f>$E$36*I37</f>
        <v>1.9230769230769235E-2</v>
      </c>
      <c r="K37" s="115">
        <f>IF('Model Inputs'!B57="NA",0,'Model Inputs'!B57*2)</f>
        <v>0</v>
      </c>
      <c r="L37" s="115">
        <f>K37*I37*$E$36*10</f>
        <v>0</v>
      </c>
      <c r="M37" s="162"/>
      <c r="N37" s="115">
        <f>IF('Model Inputs'!D57="NA",0,'Model Inputs'!D57*2)</f>
        <v>0</v>
      </c>
      <c r="O37" s="115">
        <f>K37*I37*$E$36*10</f>
        <v>0</v>
      </c>
      <c r="P37" s="162"/>
      <c r="Q37" s="151"/>
      <c r="R37" s="151"/>
    </row>
    <row r="38" spans="1:18" x14ac:dyDescent="0.3">
      <c r="A38" s="291"/>
      <c r="B38" s="291"/>
      <c r="C38" s="291"/>
      <c r="D38" s="291"/>
      <c r="E38" s="287"/>
      <c r="F38" s="288"/>
      <c r="G38" s="156" t="str">
        <f>'Model Inputs'!A58</f>
        <v xml:space="preserve">Adverse News </v>
      </c>
      <c r="H38" s="154" t="s">
        <v>281</v>
      </c>
      <c r="I38" s="137" t="s">
        <v>281</v>
      </c>
      <c r="J38" s="132"/>
      <c r="K38" s="115"/>
      <c r="L38" s="115">
        <f>IF('Model Inputs'!B58="NA",0,IF('Model Inputs'!B58=4,-2.5,IF('Model Inputs'!B58=3,-5,0)))</f>
        <v>0</v>
      </c>
      <c r="M38" s="162"/>
      <c r="N38" s="115"/>
      <c r="O38" s="115">
        <f>IF('Model Inputs'!D58="NA",0,IF('Model Inputs'!D58=4,-2.5,IF('Model Inputs'!D58=3,-5,0)))</f>
        <v>0</v>
      </c>
      <c r="P38" s="162"/>
      <c r="Q38" s="151"/>
      <c r="R38" s="151"/>
    </row>
    <row r="39" spans="1:18" ht="33" x14ac:dyDescent="0.3">
      <c r="A39" s="291"/>
      <c r="B39" s="291"/>
      <c r="C39" s="291"/>
      <c r="D39" s="291"/>
      <c r="E39" s="287"/>
      <c r="F39" s="288"/>
      <c r="G39" s="157" t="str">
        <f>'Model Inputs'!A59</f>
        <v>Company spends on Corporate Social Responsibility as per regulatory requirement</v>
      </c>
      <c r="H39" s="154">
        <f>IF(OR('Model Inputs'!B59="NA",'Model Inputs'!D59="NA"),0,7.69230769230769%)</f>
        <v>7.69230769230769E-2</v>
      </c>
      <c r="I39" s="137">
        <f t="shared" ref="I39:I49" si="0">IF(SUM($H$36:$H$49)=0,7.69230769230769%,IF(H39=0,0,7.69230769230769%+(100%-SUM($H$36:$H$49))/(13-COUNTIF($H$36:$H$49,0))))</f>
        <v>7.6923076923076941E-2</v>
      </c>
      <c r="J39" s="132"/>
      <c r="K39" s="115">
        <f>IF('Model Inputs'!B59="NA",0,'Model Inputs'!B59*2)</f>
        <v>0</v>
      </c>
      <c r="L39" s="115">
        <f>K39*I39*$E$36*10</f>
        <v>0</v>
      </c>
      <c r="M39" s="162"/>
      <c r="N39" s="115">
        <f>IF('Model Inputs'!D59="NA",0,'Model Inputs'!D59*2)</f>
        <v>0</v>
      </c>
      <c r="O39" s="115">
        <f>K39*I39*$E$36*10</f>
        <v>0</v>
      </c>
      <c r="P39" s="162"/>
      <c r="Q39" s="151"/>
      <c r="R39" s="151"/>
    </row>
    <row r="40" spans="1:18" x14ac:dyDescent="0.3">
      <c r="A40" s="291"/>
      <c r="B40" s="291"/>
      <c r="C40" s="291"/>
      <c r="D40" s="291"/>
      <c r="E40" s="287"/>
      <c r="F40" s="288"/>
      <c r="G40" s="157" t="str">
        <f>'Model Inputs'!A60</f>
        <v>Audit Committee meetings held on time</v>
      </c>
      <c r="H40" s="154">
        <f>IF(OR('Model Inputs'!B60="NA",'Model Inputs'!D60="NA"),0,7.69230769230769%)</f>
        <v>7.69230769230769E-2</v>
      </c>
      <c r="I40" s="137">
        <f t="shared" si="0"/>
        <v>7.6923076923076941E-2</v>
      </c>
      <c r="J40" s="132"/>
      <c r="K40" s="115">
        <f>IF('Model Inputs'!B60="NA",0,'Model Inputs'!B60*2)</f>
        <v>0</v>
      </c>
      <c r="L40" s="115">
        <f t="shared" ref="L40:L49" si="1">K40*I40*$E$36*10</f>
        <v>0</v>
      </c>
      <c r="M40" s="162"/>
      <c r="N40" s="115">
        <f>IF('Model Inputs'!D60="NA",0,'Model Inputs'!D60*2)</f>
        <v>0</v>
      </c>
      <c r="O40" s="115">
        <f t="shared" ref="O40:O49" si="2">K40*I40*$E$36*10</f>
        <v>0</v>
      </c>
      <c r="P40" s="162"/>
      <c r="Q40" s="151"/>
      <c r="R40" s="151"/>
    </row>
    <row r="41" spans="1:18" ht="33" x14ac:dyDescent="0.3">
      <c r="A41" s="291"/>
      <c r="B41" s="291"/>
      <c r="C41" s="291"/>
      <c r="D41" s="291"/>
      <c r="E41" s="287"/>
      <c r="F41" s="288"/>
      <c r="G41" s="157" t="str">
        <f>'Model Inputs'!A61</f>
        <v>Audit Committee discussed all the calendar items in the meeting</v>
      </c>
      <c r="H41" s="154">
        <f>IF(OR('Model Inputs'!B61="NA",'Model Inputs'!D61="NA"),0,7.69230769230769%)</f>
        <v>7.69230769230769E-2</v>
      </c>
      <c r="I41" s="137">
        <f t="shared" si="0"/>
        <v>7.6923076923076941E-2</v>
      </c>
      <c r="J41" s="132"/>
      <c r="K41" s="115">
        <f>IF('Model Inputs'!B61="NA",0,'Model Inputs'!B61*2)</f>
        <v>0</v>
      </c>
      <c r="L41" s="115">
        <f t="shared" si="1"/>
        <v>0</v>
      </c>
      <c r="M41" s="162"/>
      <c r="N41" s="115">
        <f>IF('Model Inputs'!D61="NA",0,'Model Inputs'!D61*2)</f>
        <v>0</v>
      </c>
      <c r="O41" s="115">
        <f t="shared" si="2"/>
        <v>0</v>
      </c>
      <c r="P41" s="162"/>
      <c r="Q41" s="151"/>
      <c r="R41" s="151"/>
    </row>
    <row r="42" spans="1:18" x14ac:dyDescent="0.3">
      <c r="A42" s="291"/>
      <c r="B42" s="291"/>
      <c r="C42" s="291"/>
      <c r="D42" s="291"/>
      <c r="E42" s="287"/>
      <c r="F42" s="288"/>
      <c r="G42" s="157" t="str">
        <f>'Model Inputs'!A62</f>
        <v>No Change of Auditors before the term</v>
      </c>
      <c r="H42" s="154">
        <f>IF(OR('Model Inputs'!B62="NA",'Model Inputs'!D62="NA"),0,7.69230769230769%)</f>
        <v>7.69230769230769E-2</v>
      </c>
      <c r="I42" s="137">
        <f t="shared" si="0"/>
        <v>7.6923076923076941E-2</v>
      </c>
      <c r="J42" s="132"/>
      <c r="K42" s="115">
        <f>IF('Model Inputs'!B62="NA",0,'Model Inputs'!B62*2)</f>
        <v>0</v>
      </c>
      <c r="L42" s="115">
        <f t="shared" si="1"/>
        <v>0</v>
      </c>
      <c r="M42" s="162"/>
      <c r="N42" s="115">
        <f>IF('Model Inputs'!D62="NA",0,'Model Inputs'!D62*2)</f>
        <v>0</v>
      </c>
      <c r="O42" s="115">
        <f t="shared" si="2"/>
        <v>0</v>
      </c>
      <c r="P42" s="162"/>
      <c r="Q42" s="151"/>
      <c r="R42" s="151"/>
    </row>
    <row r="43" spans="1:18" ht="33" x14ac:dyDescent="0.3">
      <c r="A43" s="291"/>
      <c r="B43" s="291"/>
      <c r="C43" s="291"/>
      <c r="D43" s="291"/>
      <c r="E43" s="287"/>
      <c r="F43" s="288"/>
      <c r="G43" s="157" t="str">
        <f>'Model Inputs'!A63</f>
        <v>No Independent directors or Key  Management officials resigned before term</v>
      </c>
      <c r="H43" s="154">
        <f>IF(OR('Model Inputs'!B63="NA",'Model Inputs'!D63="NA"),0,7.69230769230769%)</f>
        <v>7.69230769230769E-2</v>
      </c>
      <c r="I43" s="137">
        <f t="shared" si="0"/>
        <v>7.6923076923076941E-2</v>
      </c>
      <c r="J43" s="132"/>
      <c r="K43" s="115">
        <f>IF('Model Inputs'!B63="NA",0,'Model Inputs'!B63*2)</f>
        <v>0</v>
      </c>
      <c r="L43" s="115">
        <f t="shared" si="1"/>
        <v>0</v>
      </c>
      <c r="M43" s="162"/>
      <c r="N43" s="115">
        <f>IF('Model Inputs'!D63="NA",0,'Model Inputs'!D63*2)</f>
        <v>0</v>
      </c>
      <c r="O43" s="115">
        <f t="shared" si="2"/>
        <v>0</v>
      </c>
      <c r="P43" s="162"/>
      <c r="Q43" s="151"/>
      <c r="R43" s="151"/>
    </row>
    <row r="44" spans="1:18" x14ac:dyDescent="0.3">
      <c r="A44" s="291"/>
      <c r="B44" s="291"/>
      <c r="C44" s="291"/>
      <c r="D44" s="291"/>
      <c r="E44" s="287"/>
      <c r="F44" s="288"/>
      <c r="G44" s="157" t="str">
        <f>'Model Inputs'!A64</f>
        <v>Related Party Transaction</v>
      </c>
      <c r="H44" s="154">
        <f>IF(OR('Model Inputs'!B64="NA",'Model Inputs'!D64="NA"),0,7.69230769230769%)</f>
        <v>7.69230769230769E-2</v>
      </c>
      <c r="I44" s="137">
        <f t="shared" si="0"/>
        <v>7.6923076923076941E-2</v>
      </c>
      <c r="J44" s="132"/>
      <c r="K44" s="115">
        <f>IF('Model Inputs'!B64="NA",0,'Model Inputs'!B64*2)</f>
        <v>0</v>
      </c>
      <c r="L44" s="115">
        <f t="shared" si="1"/>
        <v>0</v>
      </c>
      <c r="M44" s="162"/>
      <c r="N44" s="115">
        <f>IF('Model Inputs'!D64="NA",0,'Model Inputs'!D64*2)</f>
        <v>0</v>
      </c>
      <c r="O44" s="115">
        <f t="shared" si="2"/>
        <v>0</v>
      </c>
      <c r="P44" s="162"/>
      <c r="Q44" s="151"/>
      <c r="R44" s="151"/>
    </row>
    <row r="45" spans="1:18" ht="33" x14ac:dyDescent="0.3">
      <c r="A45" s="291"/>
      <c r="B45" s="291"/>
      <c r="C45" s="291"/>
      <c r="D45" s="291"/>
      <c r="E45" s="287"/>
      <c r="F45" s="288"/>
      <c r="G45" s="157" t="str">
        <f>'Model Inputs'!A65</f>
        <v>Centralized database captures all data including branch level operations for all asset and liabilities</v>
      </c>
      <c r="H45" s="154">
        <f>IF(OR('Model Inputs'!B65="NA",'Model Inputs'!D65="NA"),0,7.69230769230769%)</f>
        <v>7.69230769230769E-2</v>
      </c>
      <c r="I45" s="137">
        <f t="shared" si="0"/>
        <v>7.6923076923076941E-2</v>
      </c>
      <c r="J45" s="132"/>
      <c r="K45" s="115">
        <f>IF('Model Inputs'!B65="NA",0,'Model Inputs'!B65*2)</f>
        <v>0</v>
      </c>
      <c r="L45" s="115">
        <f t="shared" si="1"/>
        <v>0</v>
      </c>
      <c r="M45" s="162"/>
      <c r="N45" s="115">
        <f>IF('Model Inputs'!D65="NA",0,'Model Inputs'!D65*2)</f>
        <v>0</v>
      </c>
      <c r="O45" s="115">
        <f t="shared" si="2"/>
        <v>0</v>
      </c>
      <c r="P45" s="162"/>
      <c r="Q45" s="151"/>
      <c r="R45" s="151"/>
    </row>
    <row r="46" spans="1:18" x14ac:dyDescent="0.3">
      <c r="A46" s="291"/>
      <c r="B46" s="291"/>
      <c r="C46" s="291"/>
      <c r="D46" s="291"/>
      <c r="E46" s="287"/>
      <c r="F46" s="288"/>
      <c r="G46" s="157" t="str">
        <f>'Model Inputs'!A66</f>
        <v>NPA is System Generated</v>
      </c>
      <c r="H46" s="154">
        <f>IF(OR('Model Inputs'!B66="NA",'Model Inputs'!D66="NA"),0,7.69230769230769%)</f>
        <v>7.69230769230769E-2</v>
      </c>
      <c r="I46" s="137">
        <f t="shared" si="0"/>
        <v>7.6923076923076941E-2</v>
      </c>
      <c r="J46" s="132"/>
      <c r="K46" s="115">
        <f>IF('Model Inputs'!B66="NA",0,'Model Inputs'!B66*2)</f>
        <v>0</v>
      </c>
      <c r="L46" s="115">
        <f t="shared" si="1"/>
        <v>0</v>
      </c>
      <c r="M46" s="162"/>
      <c r="N46" s="115">
        <f>IF('Model Inputs'!D66="NA",0,'Model Inputs'!D66*2)</f>
        <v>0</v>
      </c>
      <c r="O46" s="115">
        <f t="shared" si="2"/>
        <v>0</v>
      </c>
      <c r="P46" s="162"/>
      <c r="Q46" s="151"/>
      <c r="R46" s="151"/>
    </row>
    <row r="47" spans="1:18" ht="33" x14ac:dyDescent="0.3">
      <c r="A47" s="291"/>
      <c r="B47" s="291"/>
      <c r="C47" s="291"/>
      <c r="D47" s="291"/>
      <c r="E47" s="287"/>
      <c r="F47" s="288"/>
      <c r="G47" s="157" t="str">
        <f>'Model Inputs'!A67</f>
        <v>No Delay in  reporting and disclosure as per regulatory requirement</v>
      </c>
      <c r="H47" s="154">
        <f>IF(OR('Model Inputs'!B67="NA",'Model Inputs'!D67="NA"),0,7.69230769230769%)</f>
        <v>7.69230769230769E-2</v>
      </c>
      <c r="I47" s="137">
        <f t="shared" si="0"/>
        <v>7.6923076923076941E-2</v>
      </c>
      <c r="J47" s="132"/>
      <c r="K47" s="115">
        <f>IF('Model Inputs'!B67="NA",0,'Model Inputs'!B67*2)</f>
        <v>0</v>
      </c>
      <c r="L47" s="115">
        <f t="shared" si="1"/>
        <v>0</v>
      </c>
      <c r="M47" s="162"/>
      <c r="N47" s="115">
        <f>IF('Model Inputs'!D67="NA",0,'Model Inputs'!D67*2)</f>
        <v>0</v>
      </c>
      <c r="O47" s="115">
        <f t="shared" si="2"/>
        <v>0</v>
      </c>
      <c r="P47" s="162"/>
      <c r="Q47" s="151"/>
      <c r="R47" s="151"/>
    </row>
    <row r="48" spans="1:18" ht="49.5" x14ac:dyDescent="0.3">
      <c r="A48" s="291"/>
      <c r="B48" s="291"/>
      <c r="C48" s="291"/>
      <c r="D48" s="291"/>
      <c r="E48" s="287"/>
      <c r="F48" s="288"/>
      <c r="G48" s="157" t="str">
        <f>'Model Inputs'!A68</f>
        <v xml:space="preserve">Competent and Independent Management handles operation of company and promoter is not directly involved in day to day  operation  </v>
      </c>
      <c r="H48" s="154">
        <f>IF(OR('Model Inputs'!B68="NA",'Model Inputs'!D68="NA"),0,7.69230769230769%)</f>
        <v>7.69230769230769E-2</v>
      </c>
      <c r="I48" s="137">
        <f t="shared" si="0"/>
        <v>7.6923076923076941E-2</v>
      </c>
      <c r="J48" s="132"/>
      <c r="K48" s="115">
        <f>IF('Model Inputs'!B68="NA",0,'Model Inputs'!B68*2)</f>
        <v>0</v>
      </c>
      <c r="L48" s="115">
        <f t="shared" si="1"/>
        <v>0</v>
      </c>
      <c r="M48" s="162"/>
      <c r="N48" s="115">
        <f>IF('Model Inputs'!D68="NA",0,'Model Inputs'!D68*2)</f>
        <v>0</v>
      </c>
      <c r="O48" s="115">
        <f t="shared" si="2"/>
        <v>0</v>
      </c>
      <c r="P48" s="162"/>
      <c r="Q48" s="151"/>
      <c r="R48" s="151"/>
    </row>
    <row r="49" spans="1:18" ht="33" x14ac:dyDescent="0.3">
      <c r="A49" s="291"/>
      <c r="B49" s="291"/>
      <c r="C49" s="291"/>
      <c r="D49" s="291"/>
      <c r="E49" s="287"/>
      <c r="F49" s="288"/>
      <c r="G49" s="157" t="str">
        <f>'Model Inputs'!A69</f>
        <v>No divergence between regulator assessment of company financials and Company Audited Financials</v>
      </c>
      <c r="H49" s="154">
        <f>IF(OR('Model Inputs'!B69="NA",'Model Inputs'!D69="NA"),0,7.69230769230769%)</f>
        <v>7.69230769230769E-2</v>
      </c>
      <c r="I49" s="137">
        <f t="shared" si="0"/>
        <v>7.6923076923076941E-2</v>
      </c>
      <c r="J49" s="132"/>
      <c r="K49" s="115">
        <f>IF('Model Inputs'!B69="NA",0,'Model Inputs'!B69*2)</f>
        <v>0</v>
      </c>
      <c r="L49" s="115">
        <f t="shared" si="1"/>
        <v>0</v>
      </c>
      <c r="M49" s="162"/>
      <c r="N49" s="115">
        <f>IF('Model Inputs'!D69="NA",0,'Model Inputs'!D69*2)</f>
        <v>0</v>
      </c>
      <c r="O49" s="115">
        <f t="shared" si="2"/>
        <v>0</v>
      </c>
      <c r="P49" s="162"/>
      <c r="Q49" s="151"/>
      <c r="R49" s="151"/>
    </row>
    <row r="50" spans="1:18" x14ac:dyDescent="0.3">
      <c r="A50" s="291"/>
      <c r="B50" s="291"/>
      <c r="C50" s="291"/>
      <c r="D50" s="291"/>
      <c r="E50" s="287"/>
      <c r="F50" s="288"/>
      <c r="G50" s="157" t="s">
        <v>362</v>
      </c>
      <c r="H50" s="157"/>
      <c r="I50" s="201" t="s">
        <v>396</v>
      </c>
      <c r="J50" s="132"/>
      <c r="K50" s="115"/>
      <c r="L50" s="115" t="str">
        <f>IF(OR('Model Inputs'!B72="NA",'Model Inputs'!B72=3),"No","Yes")</f>
        <v>Yes</v>
      </c>
      <c r="M50" s="162"/>
      <c r="N50" s="115"/>
      <c r="O50" s="115" t="str">
        <f>IF(OR('Model Inputs'!D72="NA",'Model Inputs'!D72=3),"No","Yes")</f>
        <v>Yes</v>
      </c>
      <c r="P50" s="162"/>
      <c r="Q50" s="151"/>
      <c r="R50" s="151"/>
    </row>
    <row r="51" spans="1:18" x14ac:dyDescent="0.3">
      <c r="A51" s="291"/>
      <c r="B51" s="291"/>
      <c r="C51" s="291"/>
      <c r="D51" s="291"/>
      <c r="E51" s="289"/>
      <c r="F51" s="290"/>
      <c r="G51" s="163" t="s">
        <v>353</v>
      </c>
      <c r="H51" s="154"/>
      <c r="I51" s="137" t="s">
        <v>370</v>
      </c>
      <c r="J51" s="132"/>
      <c r="K51" s="115"/>
      <c r="L51" s="115">
        <f>'Model Inputs'!B71</f>
        <v>0</v>
      </c>
      <c r="M51" s="162"/>
      <c r="N51" s="115"/>
      <c r="O51" s="115">
        <f>'Model Inputs'!D71</f>
        <v>0</v>
      </c>
      <c r="P51" s="162"/>
      <c r="Q51" s="151"/>
      <c r="R51" s="151"/>
    </row>
    <row r="52" spans="1:18" x14ac:dyDescent="0.3">
      <c r="A52" s="280" t="s">
        <v>288</v>
      </c>
      <c r="B52" s="281"/>
      <c r="C52" s="281"/>
      <c r="D52" s="281"/>
      <c r="E52" s="281"/>
      <c r="F52" s="281"/>
      <c r="G52" s="281"/>
      <c r="H52" s="281"/>
      <c r="I52" s="282"/>
      <c r="J52" s="132"/>
      <c r="K52" s="197">
        <f>IF('Model Inputs'!B72=1,Lookup!I2,IF(AND('Model Inputs'!B72=2,SUM(L3:L49)&gt;=Lookup!I3),Lookup!I3,IF(OR('Model Inputs'!B58&lt;=2,'Model Inputs'!B56&lt;=1,'Model Inputs'!B57&lt;=1,'Model Inputs'!B70&lt;=1),IF(SUM(L3:L49)&gt;=Lookup!I9,Lookup!I8,IF(SUM(L3:L49)&gt;=Lookup!I8,Lookup!I7,IF(SUM(L3:L49)&gt;=Lookup!I7,Lookup!I6,IF(SUM(L3:L49)&gt;=Lookup!I6,Lookup!I5,IF(SUM(L3:L49)&gt;=Lookup!I5,Lookup!I4,IF(SUM(L3:L49)&gt;=Lookup!I4,Lookup!I3,IF(SUM(L3:L49)&gt;=Lookup!I3,Lookup!I3,SUM(L3:L49)))))))),SUM(L3:L49))))</f>
        <v>5.9299935513178212</v>
      </c>
      <c r="L52" s="197" t="str">
        <f>VLOOKUP(K52,Lookup!I2:K9,2)</f>
        <v>SCB D</v>
      </c>
      <c r="M52" s="162"/>
      <c r="N52" s="197">
        <f>IF('Model Inputs'!D72=1,Lookup!I2,IF(AND('Model Inputs'!D72=2,SUM(O3:O49)&gt;=Lookup!I3),Lookup!I3,IF(OR('Model Inputs'!D58&lt;=2,'Model Inputs'!D56&lt;=1,'Model Inputs'!D57&lt;=1,'Model Inputs'!D70&lt;=1),IF(SUM(O3:O49)&gt;=Lookup!I9,Lookup!I8,IF(SUM(O3:O49)&gt;=Lookup!I8,Lookup!I7,IF(SUM(O3:O49)&gt;=Lookup!I7,Lookup!I6,IF(SUM(O3:O49)&gt;=Lookup!I6,Lookup!I5,IF(SUM(O3:O49)&gt;=Lookup!I5,Lookup!I4,IF(SUM(O3:O49)&gt;=Lookup!I4,Lookup!I3,IF(SUM(O3:O49)&gt;=Lookup!I3,Lookup!I3,SUM(O3:O49)))))))),SUM(O3:O49))))</f>
        <v>5.9299935513178212</v>
      </c>
      <c r="O52" s="197" t="str">
        <f>VLOOKUP(N52,Lookup!I2:K9,2)</f>
        <v>SCB D</v>
      </c>
    </row>
    <row r="53" spans="1:18" x14ac:dyDescent="0.3">
      <c r="A53" s="280" t="s">
        <v>417</v>
      </c>
      <c r="B53" s="292"/>
      <c r="C53" s="292"/>
      <c r="D53" s="292"/>
      <c r="E53" s="292"/>
      <c r="F53" s="292"/>
      <c r="G53" s="292"/>
      <c r="H53" s="292"/>
      <c r="I53" s="293"/>
      <c r="J53" s="132"/>
      <c r="K53" s="197">
        <f>IF(OR('Rating Cap'!E7="Yes",'Rating Cap'!E8="Yes",'Rating Cap'!E9="Yes",'Rating Cap'!E10="Yes",'Rating Cap'!E11="Yes"),K52,IF(OR(SUM(L4:L21)&lt;4,SUM(L22:L35)&lt;2.5,SUM(L36:L49)&lt;2.5),IF(K52&gt;=Lookup!I9,Lookup!I8,IF(K52&gt;=Lookup!I8,Lookup!I7,IF(K52&gt;=Lookup!I7,Lookup!I6,IF(K52&gt;=Lookup!I6,Lookup!I5,IF(K52&gt;=Lookup!I5,Lookup!I4,IF(K52&gt;=Lookup!I4,Lookup!I3,Lookup!I2)))))),K52))</f>
        <v>5.9299935513178212</v>
      </c>
      <c r="L53" s="198" t="str">
        <f>VLOOKUP(K53,Lookup!$I$2:$J$9,2)</f>
        <v>SCB D</v>
      </c>
      <c r="N53" s="197">
        <f>IF(OR('Rating Cap'!F7="Yes",'Rating Cap'!F8="Yes",'Rating Cap'!F9="Yes",'Rating Cap'!F10="Yes",'Rating Cap'!F11="Yes"),N52,IF(OR(SUM(O4:O21)&lt;4,SUM(O22:O35)&lt;2.5,SUM(O36:O49)&lt;2.5),IF(N52&gt;=Lookup!I9,Lookup!I8,IF(N52&gt;=Lookup!I8,Lookup!I7,IF(N52&gt;=Lookup!I7,Lookup!I6,IF(N52&gt;=Lookup!I6,Lookup!I5,IF(N52&gt;=Lookup!I5,Lookup!I4,IF(N52&gt;=Lookup!I4,Lookup!I3,Lookup!I2)))))),N52))</f>
        <v>5.9299935513178212</v>
      </c>
      <c r="O53" s="198" t="str">
        <f>VLOOKUP(N53,Lookup!$I$2:$J$9,2)</f>
        <v>SCB D</v>
      </c>
    </row>
    <row r="54" spans="1:18" x14ac:dyDescent="0.3">
      <c r="A54" s="294" t="s">
        <v>289</v>
      </c>
      <c r="B54" s="295"/>
      <c r="C54" s="295"/>
      <c r="D54" s="295"/>
      <c r="E54" s="295"/>
      <c r="F54" s="295"/>
      <c r="G54" s="281"/>
      <c r="H54" s="281"/>
      <c r="I54" s="282"/>
      <c r="K54" s="199" t="str">
        <f>L53</f>
        <v>SCB D</v>
      </c>
      <c r="L54" s="200">
        <f>VLOOKUP(K54,Lookup!J2:L9,3,FALSE)</f>
        <v>0.21</v>
      </c>
      <c r="N54" s="199" t="str">
        <f>O53</f>
        <v>SCB D</v>
      </c>
      <c r="O54" s="200">
        <f>VLOOKUP(N54,Lookup!J2:L9,3,FALSE)</f>
        <v>0.21</v>
      </c>
    </row>
    <row r="55" spans="1:18" x14ac:dyDescent="0.3">
      <c r="A55" s="21"/>
      <c r="B55" s="21"/>
      <c r="C55" s="21"/>
      <c r="D55" s="21"/>
      <c r="E55" s="21"/>
      <c r="F55" s="21"/>
      <c r="G55" s="21"/>
      <c r="H55" s="21"/>
      <c r="L55" s="116"/>
      <c r="N55" s="116"/>
      <c r="O55" s="116"/>
    </row>
    <row r="56" spans="1:18" x14ac:dyDescent="0.3">
      <c r="A56" s="21"/>
      <c r="B56" s="21"/>
      <c r="C56" s="21"/>
      <c r="D56" s="21"/>
      <c r="E56" s="21"/>
      <c r="F56" s="21"/>
      <c r="G56" s="21"/>
      <c r="H56" s="21"/>
      <c r="K56" s="116"/>
      <c r="L56" s="116"/>
      <c r="N56" s="116"/>
      <c r="O56" s="116"/>
    </row>
    <row r="57" spans="1:18" x14ac:dyDescent="0.3">
      <c r="A57" s="21"/>
      <c r="B57" s="21"/>
      <c r="C57" s="21"/>
      <c r="D57" s="21"/>
      <c r="E57" s="21"/>
      <c r="F57" s="21"/>
      <c r="G57" s="21"/>
      <c r="H57" s="21"/>
      <c r="K57" s="116"/>
      <c r="L57" s="116"/>
      <c r="N57" s="116"/>
      <c r="O57" s="116"/>
    </row>
    <row r="58" spans="1:18" x14ac:dyDescent="0.3">
      <c r="A58" s="21"/>
      <c r="B58" s="21"/>
      <c r="C58" s="21"/>
      <c r="D58" s="21"/>
      <c r="E58" s="21"/>
      <c r="F58" s="21"/>
      <c r="G58" s="21"/>
      <c r="H58" s="21"/>
      <c r="K58" s="116"/>
      <c r="L58" s="116"/>
      <c r="N58" s="116"/>
      <c r="O58" s="116"/>
    </row>
    <row r="59" spans="1:18" x14ac:dyDescent="0.3">
      <c r="A59" s="21"/>
      <c r="B59" s="21"/>
      <c r="C59" s="21"/>
      <c r="D59" s="21"/>
      <c r="E59" s="21"/>
      <c r="F59" s="21"/>
      <c r="G59" s="21"/>
      <c r="H59" s="21"/>
      <c r="K59" s="116"/>
      <c r="L59" s="116"/>
      <c r="N59" s="116"/>
      <c r="O59" s="116"/>
    </row>
    <row r="60" spans="1:18" x14ac:dyDescent="0.3">
      <c r="A60" s="21"/>
      <c r="B60" s="21"/>
      <c r="C60" s="21"/>
      <c r="D60" s="21"/>
      <c r="E60" s="21"/>
      <c r="F60" s="21"/>
      <c r="G60" s="21"/>
      <c r="H60" s="21"/>
      <c r="K60" s="116"/>
      <c r="L60" s="116"/>
      <c r="N60" s="116"/>
      <c r="O60" s="116"/>
    </row>
    <row r="61" spans="1:18" x14ac:dyDescent="0.3">
      <c r="A61" s="21"/>
      <c r="B61" s="21"/>
      <c r="C61" s="21"/>
      <c r="D61" s="21"/>
      <c r="E61" s="21"/>
      <c r="F61" s="21"/>
      <c r="G61" s="21"/>
      <c r="H61" s="21"/>
      <c r="K61" s="116"/>
      <c r="L61" s="116"/>
      <c r="N61" s="116"/>
      <c r="O61" s="116"/>
    </row>
    <row r="62" spans="1:18" x14ac:dyDescent="0.3">
      <c r="A62" s="21"/>
      <c r="B62" s="21"/>
      <c r="C62" s="21"/>
      <c r="D62" s="21"/>
      <c r="E62" s="21"/>
      <c r="F62" s="21"/>
      <c r="G62" s="21"/>
      <c r="H62" s="21"/>
      <c r="K62" s="116"/>
      <c r="L62" s="116"/>
      <c r="N62" s="116"/>
      <c r="O62" s="116"/>
    </row>
    <row r="63" spans="1:18" x14ac:dyDescent="0.3">
      <c r="A63" s="21"/>
      <c r="B63" s="21"/>
      <c r="C63" s="21"/>
      <c r="D63" s="21"/>
      <c r="E63" s="21"/>
      <c r="F63" s="21"/>
      <c r="G63" s="21"/>
      <c r="H63" s="21"/>
      <c r="K63" s="116"/>
      <c r="L63" s="116"/>
      <c r="N63" s="116"/>
      <c r="O63" s="116"/>
    </row>
    <row r="64" spans="1:18" x14ac:dyDescent="0.3">
      <c r="A64" s="21"/>
      <c r="B64" s="21"/>
      <c r="C64" s="21"/>
      <c r="D64" s="21"/>
      <c r="E64" s="21"/>
      <c r="F64" s="21"/>
      <c r="G64" s="21"/>
      <c r="H64" s="21"/>
      <c r="K64" s="116"/>
      <c r="L64" s="116"/>
      <c r="N64" s="116"/>
      <c r="O64" s="116"/>
    </row>
    <row r="65" spans="1:15" x14ac:dyDescent="0.3">
      <c r="A65" s="21"/>
      <c r="B65" s="21"/>
      <c r="C65" s="21"/>
      <c r="D65" s="21"/>
      <c r="E65" s="21"/>
      <c r="F65" s="21"/>
      <c r="G65" s="21"/>
      <c r="H65" s="21"/>
      <c r="K65" s="116"/>
      <c r="L65" s="116"/>
      <c r="N65" s="116"/>
      <c r="O65" s="116"/>
    </row>
    <row r="66" spans="1:15" x14ac:dyDescent="0.3">
      <c r="A66" s="21"/>
      <c r="B66" s="21"/>
      <c r="C66" s="21"/>
      <c r="D66" s="21"/>
      <c r="E66" s="21"/>
      <c r="F66" s="21"/>
      <c r="G66" s="21"/>
      <c r="H66" s="21"/>
      <c r="K66" s="116"/>
      <c r="L66" s="116"/>
      <c r="N66" s="116"/>
      <c r="O66" s="116"/>
    </row>
    <row r="67" spans="1:15" x14ac:dyDescent="0.3">
      <c r="A67" s="21"/>
      <c r="B67" s="21"/>
      <c r="C67" s="21"/>
      <c r="D67" s="21"/>
      <c r="E67" s="21"/>
      <c r="F67" s="21"/>
      <c r="G67" s="21"/>
      <c r="H67" s="21"/>
      <c r="K67" s="116"/>
      <c r="L67" s="116"/>
      <c r="N67" s="116"/>
      <c r="O67" s="116"/>
    </row>
    <row r="68" spans="1:15" x14ac:dyDescent="0.3">
      <c r="A68" s="21"/>
      <c r="B68" s="21"/>
      <c r="C68" s="21"/>
      <c r="D68" s="21"/>
      <c r="E68" s="21"/>
      <c r="F68" s="21"/>
      <c r="G68" s="21"/>
      <c r="H68" s="21"/>
      <c r="K68" s="116"/>
      <c r="L68" s="116"/>
      <c r="N68" s="116"/>
      <c r="O68" s="116"/>
    </row>
    <row r="69" spans="1:15" x14ac:dyDescent="0.3">
      <c r="A69" s="21"/>
      <c r="B69" s="21"/>
      <c r="C69" s="21"/>
      <c r="D69" s="21"/>
      <c r="E69" s="21"/>
      <c r="F69" s="21"/>
      <c r="G69" s="21"/>
      <c r="H69" s="21"/>
      <c r="K69" s="116"/>
      <c r="L69" s="116"/>
      <c r="N69" s="116"/>
      <c r="O69" s="116"/>
    </row>
    <row r="70" spans="1:15" x14ac:dyDescent="0.3">
      <c r="A70" s="21"/>
      <c r="B70" s="21"/>
      <c r="C70" s="21"/>
      <c r="D70" s="21"/>
      <c r="E70" s="21"/>
      <c r="F70" s="21"/>
      <c r="G70" s="21"/>
      <c r="H70" s="21"/>
      <c r="K70" s="116"/>
      <c r="L70" s="116"/>
      <c r="N70" s="116"/>
      <c r="O70" s="116"/>
    </row>
    <row r="71" spans="1:15" x14ac:dyDescent="0.3">
      <c r="A71" s="21"/>
      <c r="B71" s="21"/>
      <c r="C71" s="21"/>
      <c r="D71" s="21"/>
      <c r="E71" s="21"/>
      <c r="F71" s="21"/>
      <c r="G71" s="21"/>
      <c r="H71" s="21"/>
      <c r="K71" s="116"/>
      <c r="L71" s="116"/>
      <c r="N71" s="116"/>
      <c r="O71" s="116"/>
    </row>
    <row r="72" spans="1:15" x14ac:dyDescent="0.3">
      <c r="A72" s="21"/>
      <c r="B72" s="21"/>
      <c r="C72" s="21"/>
      <c r="D72" s="21"/>
      <c r="E72" s="21"/>
      <c r="F72" s="21"/>
      <c r="G72" s="21"/>
      <c r="H72" s="21"/>
      <c r="K72" s="116"/>
      <c r="L72" s="116"/>
      <c r="N72" s="116"/>
      <c r="O72" s="116"/>
    </row>
    <row r="73" spans="1:15" x14ac:dyDescent="0.3">
      <c r="A73" s="21"/>
      <c r="B73" s="21"/>
      <c r="C73" s="21"/>
      <c r="D73" s="21"/>
      <c r="E73" s="21"/>
      <c r="F73" s="21"/>
      <c r="G73" s="21"/>
      <c r="H73" s="21"/>
      <c r="K73" s="116"/>
      <c r="L73" s="116"/>
      <c r="N73" s="116"/>
      <c r="O73" s="116"/>
    </row>
    <row r="74" spans="1:15" x14ac:dyDescent="0.3">
      <c r="A74" s="21"/>
      <c r="B74" s="21"/>
      <c r="C74" s="21"/>
      <c r="D74" s="21"/>
      <c r="E74" s="21"/>
      <c r="F74" s="21"/>
      <c r="G74" s="21"/>
      <c r="H74" s="21"/>
      <c r="K74" s="116"/>
      <c r="L74" s="116"/>
      <c r="N74" s="116"/>
      <c r="O74" s="116"/>
    </row>
    <row r="75" spans="1:15" x14ac:dyDescent="0.3">
      <c r="A75" s="21"/>
      <c r="B75" s="21"/>
      <c r="C75" s="21"/>
      <c r="D75" s="21"/>
      <c r="E75" s="21"/>
      <c r="F75" s="21"/>
      <c r="G75" s="21"/>
      <c r="H75" s="21"/>
      <c r="K75" s="116"/>
      <c r="L75" s="116"/>
      <c r="N75" s="116"/>
      <c r="O75" s="116"/>
    </row>
    <row r="76" spans="1:15" x14ac:dyDescent="0.3">
      <c r="A76" s="21"/>
      <c r="B76" s="21"/>
      <c r="C76" s="21"/>
      <c r="D76" s="21"/>
      <c r="E76" s="21"/>
      <c r="F76" s="21"/>
      <c r="G76" s="21"/>
      <c r="H76" s="21"/>
      <c r="K76" s="116"/>
      <c r="L76" s="116"/>
      <c r="N76" s="116"/>
      <c r="O76" s="116"/>
    </row>
    <row r="77" spans="1:15" x14ac:dyDescent="0.3">
      <c r="A77" s="21"/>
      <c r="B77" s="21"/>
      <c r="C77" s="21"/>
      <c r="D77" s="21"/>
      <c r="E77" s="21"/>
      <c r="F77" s="21"/>
      <c r="G77" s="21"/>
      <c r="H77" s="21"/>
      <c r="K77" s="116"/>
      <c r="L77" s="116"/>
      <c r="N77" s="116"/>
      <c r="O77" s="116"/>
    </row>
    <row r="78" spans="1:15" x14ac:dyDescent="0.3">
      <c r="A78" s="21"/>
      <c r="B78" s="21"/>
      <c r="C78" s="21"/>
      <c r="D78" s="21"/>
      <c r="E78" s="21"/>
      <c r="F78" s="21"/>
      <c r="G78" s="21"/>
      <c r="H78" s="21"/>
      <c r="K78" s="116"/>
      <c r="L78" s="116"/>
      <c r="N78" s="116"/>
      <c r="O78" s="116"/>
    </row>
    <row r="79" spans="1:15" x14ac:dyDescent="0.3">
      <c r="A79" s="21"/>
      <c r="B79" s="21"/>
      <c r="C79" s="21"/>
      <c r="D79" s="21"/>
      <c r="E79" s="21"/>
      <c r="F79" s="21"/>
      <c r="G79" s="21"/>
      <c r="H79" s="21"/>
      <c r="K79" s="116"/>
      <c r="L79" s="116"/>
      <c r="N79" s="116"/>
      <c r="O79" s="116"/>
    </row>
    <row r="80" spans="1:15" x14ac:dyDescent="0.3">
      <c r="A80" s="21"/>
      <c r="B80" s="21"/>
      <c r="C80" s="21"/>
      <c r="D80" s="21"/>
      <c r="E80" s="21"/>
      <c r="F80" s="21"/>
      <c r="G80" s="21"/>
      <c r="H80" s="21"/>
      <c r="K80" s="116"/>
      <c r="L80" s="116"/>
      <c r="N80" s="116"/>
      <c r="O80" s="116"/>
    </row>
    <row r="81" spans="1:15" x14ac:dyDescent="0.3">
      <c r="A81" s="21"/>
      <c r="B81" s="21"/>
      <c r="C81" s="21"/>
      <c r="D81" s="21"/>
      <c r="E81" s="21"/>
      <c r="F81" s="21"/>
      <c r="G81" s="21"/>
      <c r="H81" s="21"/>
      <c r="K81" s="116"/>
      <c r="L81" s="116"/>
      <c r="N81" s="116"/>
      <c r="O81" s="116"/>
    </row>
    <row r="82" spans="1:15" x14ac:dyDescent="0.3">
      <c r="A82" s="21"/>
      <c r="B82" s="21"/>
      <c r="C82" s="21"/>
      <c r="D82" s="21"/>
      <c r="E82" s="21"/>
      <c r="F82" s="21"/>
      <c r="G82" s="21"/>
      <c r="H82" s="21"/>
      <c r="K82" s="116"/>
      <c r="L82" s="116"/>
      <c r="N82" s="116"/>
      <c r="O82" s="116"/>
    </row>
    <row r="83" spans="1:15" x14ac:dyDescent="0.3">
      <c r="A83" s="21"/>
      <c r="B83" s="21"/>
      <c r="C83" s="21"/>
      <c r="D83" s="21"/>
      <c r="E83" s="21"/>
      <c r="F83" s="21"/>
      <c r="G83" s="21"/>
      <c r="H83" s="21"/>
      <c r="K83" s="116"/>
      <c r="L83" s="116"/>
      <c r="N83" s="116"/>
      <c r="O83" s="116"/>
    </row>
    <row r="84" spans="1:15" x14ac:dyDescent="0.3">
      <c r="A84" s="21"/>
      <c r="B84" s="21"/>
      <c r="C84" s="21"/>
      <c r="D84" s="21"/>
      <c r="E84" s="21"/>
      <c r="F84" s="21"/>
      <c r="G84" s="21"/>
      <c r="H84" s="21"/>
      <c r="K84" s="116"/>
      <c r="L84" s="116"/>
      <c r="N84" s="116"/>
      <c r="O84" s="116"/>
    </row>
    <row r="85" spans="1:15" x14ac:dyDescent="0.3">
      <c r="A85" s="21"/>
      <c r="B85" s="21"/>
      <c r="C85" s="21"/>
      <c r="D85" s="21"/>
      <c r="E85" s="21"/>
      <c r="F85" s="21"/>
      <c r="G85" s="21"/>
      <c r="H85" s="21"/>
      <c r="K85" s="116"/>
      <c r="L85" s="116"/>
      <c r="N85" s="116"/>
      <c r="O85" s="116"/>
    </row>
    <row r="86" spans="1:15" x14ac:dyDescent="0.3">
      <c r="A86" s="21"/>
      <c r="B86" s="21"/>
      <c r="C86" s="21"/>
      <c r="D86" s="21"/>
      <c r="E86" s="21"/>
      <c r="F86" s="21"/>
      <c r="G86" s="21"/>
      <c r="H86" s="21"/>
      <c r="K86" s="116"/>
      <c r="L86" s="116"/>
      <c r="N86" s="116"/>
      <c r="O86" s="116"/>
    </row>
    <row r="87" spans="1:15" x14ac:dyDescent="0.3">
      <c r="A87" s="21"/>
      <c r="B87" s="21"/>
      <c r="C87" s="21"/>
      <c r="D87" s="21"/>
      <c r="E87" s="21"/>
      <c r="F87" s="21"/>
      <c r="G87" s="21"/>
      <c r="H87" s="21"/>
      <c r="K87" s="116"/>
      <c r="L87" s="116"/>
      <c r="N87" s="116"/>
      <c r="O87" s="116"/>
    </row>
    <row r="88" spans="1:15" x14ac:dyDescent="0.3">
      <c r="A88" s="21"/>
      <c r="B88" s="21"/>
      <c r="C88" s="21"/>
      <c r="D88" s="21"/>
      <c r="E88" s="21"/>
      <c r="F88" s="21"/>
      <c r="G88" s="21"/>
      <c r="H88" s="21"/>
      <c r="K88" s="116"/>
      <c r="L88" s="116"/>
      <c r="N88" s="116"/>
      <c r="O88" s="116"/>
    </row>
    <row r="89" spans="1:15" x14ac:dyDescent="0.3">
      <c r="A89" s="21"/>
      <c r="B89" s="21"/>
      <c r="C89" s="21"/>
      <c r="D89" s="21"/>
      <c r="E89" s="21"/>
      <c r="F89" s="21"/>
      <c r="G89" s="21"/>
      <c r="H89" s="21"/>
      <c r="K89" s="116"/>
      <c r="L89" s="116"/>
      <c r="N89" s="116"/>
      <c r="O89" s="116"/>
    </row>
    <row r="90" spans="1:15" x14ac:dyDescent="0.3">
      <c r="A90" s="21"/>
      <c r="B90" s="21"/>
      <c r="C90" s="21"/>
      <c r="D90" s="21"/>
      <c r="E90" s="21"/>
      <c r="F90" s="21"/>
      <c r="G90" s="21"/>
      <c r="H90" s="21"/>
      <c r="K90" s="116"/>
      <c r="L90" s="116"/>
      <c r="N90" s="116"/>
      <c r="O90" s="116"/>
    </row>
    <row r="91" spans="1:15" x14ac:dyDescent="0.3">
      <c r="A91" s="21"/>
      <c r="B91" s="21"/>
      <c r="C91" s="21"/>
      <c r="D91" s="21"/>
      <c r="E91" s="21"/>
      <c r="F91" s="21"/>
      <c r="G91" s="21"/>
      <c r="H91" s="21"/>
      <c r="K91" s="116"/>
      <c r="L91" s="116"/>
      <c r="N91" s="116"/>
      <c r="O91" s="116"/>
    </row>
    <row r="92" spans="1:15" x14ac:dyDescent="0.3">
      <c r="A92" s="21"/>
      <c r="B92" s="21"/>
      <c r="C92" s="21"/>
      <c r="D92" s="21"/>
      <c r="E92" s="21"/>
      <c r="F92" s="21"/>
      <c r="G92" s="21"/>
      <c r="H92" s="21"/>
      <c r="K92" s="116"/>
      <c r="L92" s="116"/>
      <c r="N92" s="116"/>
      <c r="O92" s="116"/>
    </row>
    <row r="93" spans="1:15" x14ac:dyDescent="0.3">
      <c r="A93" s="21"/>
      <c r="B93" s="21"/>
      <c r="C93" s="21"/>
      <c r="D93" s="21"/>
      <c r="E93" s="21"/>
      <c r="F93" s="21"/>
      <c r="G93" s="21"/>
      <c r="H93" s="21"/>
      <c r="K93" s="116"/>
      <c r="L93" s="116"/>
      <c r="N93" s="116"/>
      <c r="O93" s="116"/>
    </row>
    <row r="94" spans="1:15" x14ac:dyDescent="0.3">
      <c r="A94" s="21"/>
      <c r="B94" s="21"/>
      <c r="C94" s="21"/>
      <c r="D94" s="21"/>
      <c r="E94" s="21"/>
      <c r="F94" s="21"/>
      <c r="G94" s="21"/>
      <c r="H94" s="21"/>
      <c r="K94" s="116"/>
      <c r="L94" s="116"/>
      <c r="N94" s="116"/>
      <c r="O94" s="116"/>
    </row>
    <row r="95" spans="1:15" x14ac:dyDescent="0.3">
      <c r="A95" s="21"/>
      <c r="B95" s="21"/>
      <c r="C95" s="21"/>
      <c r="D95" s="21"/>
      <c r="E95" s="21"/>
      <c r="F95" s="21"/>
      <c r="G95" s="21"/>
      <c r="H95" s="21"/>
      <c r="K95" s="116"/>
      <c r="L95" s="116"/>
      <c r="N95" s="116"/>
      <c r="O95" s="116"/>
    </row>
    <row r="96" spans="1:15" x14ac:dyDescent="0.3">
      <c r="A96" s="21"/>
      <c r="B96" s="21"/>
      <c r="C96" s="21"/>
      <c r="D96" s="21"/>
      <c r="E96" s="21"/>
      <c r="F96" s="21"/>
      <c r="G96" s="21"/>
      <c r="H96" s="21"/>
      <c r="K96" s="116"/>
      <c r="L96" s="116"/>
      <c r="N96" s="116"/>
      <c r="O96" s="116"/>
    </row>
    <row r="97" spans="1:15" x14ac:dyDescent="0.3">
      <c r="A97" s="21"/>
      <c r="B97" s="21"/>
      <c r="C97" s="21"/>
      <c r="D97" s="21"/>
      <c r="E97" s="21"/>
      <c r="F97" s="21"/>
      <c r="G97" s="21"/>
      <c r="H97" s="21"/>
      <c r="K97" s="116"/>
      <c r="L97" s="116"/>
      <c r="N97" s="116"/>
      <c r="O97" s="116"/>
    </row>
    <row r="98" spans="1:15" x14ac:dyDescent="0.3">
      <c r="A98" s="21"/>
      <c r="B98" s="21"/>
      <c r="C98" s="21"/>
      <c r="D98" s="21"/>
      <c r="E98" s="21"/>
      <c r="F98" s="21"/>
      <c r="G98" s="21"/>
      <c r="H98" s="21"/>
      <c r="K98" s="116"/>
      <c r="L98" s="116"/>
      <c r="N98" s="116"/>
      <c r="O98" s="116"/>
    </row>
    <row r="99" spans="1:15" x14ac:dyDescent="0.3">
      <c r="A99" s="21"/>
      <c r="B99" s="21"/>
      <c r="C99" s="21"/>
      <c r="D99" s="21"/>
      <c r="E99" s="21"/>
      <c r="F99" s="21"/>
      <c r="G99" s="21"/>
      <c r="H99" s="21"/>
      <c r="K99" s="116"/>
      <c r="L99" s="116"/>
      <c r="N99" s="116"/>
      <c r="O99" s="116"/>
    </row>
    <row r="100" spans="1:15" x14ac:dyDescent="0.3">
      <c r="A100" s="21"/>
      <c r="B100" s="21"/>
      <c r="C100" s="21"/>
      <c r="D100" s="21"/>
      <c r="E100" s="21"/>
      <c r="F100" s="21"/>
      <c r="G100" s="21"/>
      <c r="H100" s="21"/>
      <c r="K100" s="116"/>
      <c r="L100" s="116"/>
      <c r="N100" s="116"/>
      <c r="O100" s="116"/>
    </row>
    <row r="101" spans="1:15" x14ac:dyDescent="0.3">
      <c r="A101" s="21"/>
      <c r="B101" s="21"/>
      <c r="C101" s="21"/>
      <c r="D101" s="21"/>
      <c r="E101" s="21"/>
      <c r="F101" s="21"/>
      <c r="G101" s="21"/>
      <c r="H101" s="21"/>
      <c r="K101" s="116"/>
      <c r="L101" s="116"/>
      <c r="N101" s="116"/>
      <c r="O101" s="116"/>
    </row>
    <row r="102" spans="1:15" x14ac:dyDescent="0.3">
      <c r="A102" s="21"/>
      <c r="B102" s="21"/>
      <c r="C102" s="21"/>
      <c r="D102" s="21"/>
      <c r="E102" s="21"/>
      <c r="F102" s="21"/>
      <c r="G102" s="21"/>
      <c r="H102" s="21"/>
      <c r="K102" s="116"/>
      <c r="L102" s="116"/>
      <c r="N102" s="116"/>
      <c r="O102" s="116"/>
    </row>
    <row r="103" spans="1:15" x14ac:dyDescent="0.3">
      <c r="A103" s="21"/>
      <c r="B103" s="21"/>
      <c r="C103" s="21"/>
      <c r="D103" s="21"/>
      <c r="E103" s="21"/>
      <c r="F103" s="21"/>
      <c r="G103" s="21"/>
      <c r="H103" s="21"/>
      <c r="K103" s="116"/>
      <c r="L103" s="116"/>
      <c r="N103" s="116"/>
      <c r="O103" s="116"/>
    </row>
    <row r="104" spans="1:15" x14ac:dyDescent="0.3">
      <c r="A104" s="21"/>
      <c r="B104" s="21"/>
      <c r="C104" s="21"/>
      <c r="D104" s="21"/>
      <c r="E104" s="21"/>
      <c r="F104" s="21"/>
      <c r="G104" s="21"/>
      <c r="H104" s="21"/>
      <c r="K104" s="116"/>
      <c r="L104" s="116"/>
      <c r="N104" s="116"/>
      <c r="O104" s="116"/>
    </row>
    <row r="105" spans="1:15" x14ac:dyDescent="0.3">
      <c r="A105" s="21"/>
      <c r="B105" s="21"/>
      <c r="C105" s="21"/>
      <c r="D105" s="21"/>
      <c r="E105" s="21"/>
      <c r="F105" s="21"/>
      <c r="G105" s="21"/>
      <c r="H105" s="21"/>
      <c r="K105" s="116"/>
      <c r="L105" s="116"/>
      <c r="N105" s="116"/>
      <c r="O105" s="116"/>
    </row>
    <row r="106" spans="1:15" x14ac:dyDescent="0.3">
      <c r="A106" s="21"/>
      <c r="B106" s="21"/>
      <c r="C106" s="21"/>
      <c r="D106" s="21"/>
      <c r="E106" s="21"/>
      <c r="F106" s="21"/>
      <c r="G106" s="21"/>
      <c r="H106" s="21"/>
      <c r="K106" s="116"/>
      <c r="L106" s="116"/>
      <c r="N106" s="116"/>
      <c r="O106" s="116"/>
    </row>
    <row r="107" spans="1:15" x14ac:dyDescent="0.3">
      <c r="A107" s="21"/>
      <c r="B107" s="21"/>
      <c r="C107" s="21"/>
      <c r="D107" s="21"/>
      <c r="E107" s="21"/>
      <c r="F107" s="21"/>
      <c r="G107" s="21"/>
      <c r="H107" s="21"/>
      <c r="K107" s="116"/>
      <c r="L107" s="116"/>
      <c r="N107" s="116"/>
      <c r="O107" s="116"/>
    </row>
    <row r="108" spans="1:15" x14ac:dyDescent="0.3">
      <c r="A108" s="21"/>
      <c r="B108" s="21"/>
      <c r="C108" s="21"/>
      <c r="D108" s="21"/>
      <c r="E108" s="21"/>
      <c r="F108" s="21"/>
      <c r="G108" s="21"/>
      <c r="H108" s="21"/>
      <c r="K108" s="116"/>
      <c r="L108" s="116"/>
      <c r="N108" s="116"/>
      <c r="O108" s="116"/>
    </row>
    <row r="109" spans="1:15" x14ac:dyDescent="0.3">
      <c r="A109" s="21"/>
      <c r="B109" s="21"/>
      <c r="C109" s="21"/>
      <c r="D109" s="21"/>
      <c r="E109" s="21"/>
      <c r="F109" s="21"/>
      <c r="G109" s="21"/>
      <c r="H109" s="21"/>
      <c r="K109" s="116"/>
      <c r="L109" s="116"/>
      <c r="N109" s="116"/>
      <c r="O109" s="116"/>
    </row>
    <row r="110" spans="1:15" x14ac:dyDescent="0.3">
      <c r="A110" s="21"/>
      <c r="B110" s="21"/>
      <c r="C110" s="21"/>
      <c r="D110" s="21"/>
      <c r="E110" s="21"/>
      <c r="F110" s="21"/>
      <c r="G110" s="21"/>
      <c r="H110" s="21"/>
      <c r="K110" s="116"/>
      <c r="L110" s="116"/>
      <c r="N110" s="116"/>
      <c r="O110" s="116"/>
    </row>
    <row r="111" spans="1:15" x14ac:dyDescent="0.3">
      <c r="A111" s="21"/>
      <c r="B111" s="21"/>
      <c r="C111" s="21"/>
      <c r="D111" s="21"/>
      <c r="E111" s="21"/>
      <c r="F111" s="21"/>
      <c r="G111" s="21"/>
      <c r="H111" s="21"/>
      <c r="K111" s="116"/>
      <c r="L111" s="116"/>
      <c r="N111" s="116"/>
      <c r="O111" s="116"/>
    </row>
    <row r="112" spans="1:15" x14ac:dyDescent="0.3">
      <c r="A112" s="21"/>
      <c r="B112" s="21"/>
      <c r="C112" s="21"/>
      <c r="D112" s="21"/>
      <c r="E112" s="21"/>
      <c r="F112" s="21"/>
      <c r="G112" s="21"/>
      <c r="H112" s="21"/>
      <c r="K112" s="116"/>
      <c r="L112" s="116"/>
      <c r="N112" s="116"/>
      <c r="O112" s="116"/>
    </row>
    <row r="113" spans="1:15" x14ac:dyDescent="0.3">
      <c r="A113" s="21"/>
      <c r="B113" s="21"/>
      <c r="C113" s="21"/>
      <c r="D113" s="21"/>
      <c r="E113" s="21"/>
      <c r="F113" s="21"/>
      <c r="G113" s="21"/>
      <c r="H113" s="21"/>
      <c r="K113" s="116"/>
      <c r="L113" s="116"/>
      <c r="N113" s="116"/>
      <c r="O113" s="116"/>
    </row>
    <row r="114" spans="1:15" x14ac:dyDescent="0.3">
      <c r="A114" s="21"/>
      <c r="B114" s="21"/>
      <c r="C114" s="21"/>
      <c r="D114" s="21"/>
      <c r="E114" s="21"/>
      <c r="F114" s="21"/>
      <c r="G114" s="21"/>
      <c r="H114" s="21"/>
      <c r="K114" s="116"/>
      <c r="L114" s="116"/>
      <c r="N114" s="116"/>
      <c r="O114" s="116"/>
    </row>
    <row r="115" spans="1:15" x14ac:dyDescent="0.3">
      <c r="A115" s="21"/>
      <c r="B115" s="21"/>
      <c r="C115" s="21"/>
      <c r="D115" s="21"/>
      <c r="E115" s="21"/>
      <c r="F115" s="21"/>
      <c r="G115" s="21"/>
      <c r="H115" s="21"/>
      <c r="K115" s="116"/>
      <c r="L115" s="116"/>
      <c r="N115" s="116"/>
      <c r="O115" s="116"/>
    </row>
    <row r="116" spans="1:15" x14ac:dyDescent="0.3">
      <c r="A116" s="21"/>
      <c r="B116" s="21"/>
      <c r="C116" s="21"/>
      <c r="D116" s="21"/>
      <c r="E116" s="21"/>
      <c r="F116" s="21"/>
      <c r="G116" s="21"/>
      <c r="H116" s="21"/>
      <c r="K116" s="116"/>
      <c r="L116" s="116"/>
      <c r="N116" s="116"/>
      <c r="O116" s="116"/>
    </row>
    <row r="117" spans="1:15" x14ac:dyDescent="0.3">
      <c r="A117" s="21"/>
      <c r="B117" s="21"/>
      <c r="C117" s="21"/>
      <c r="D117" s="21"/>
      <c r="E117" s="21"/>
      <c r="F117" s="21"/>
      <c r="G117" s="21"/>
      <c r="H117" s="21"/>
      <c r="K117" s="116"/>
      <c r="L117" s="116"/>
      <c r="N117" s="116"/>
      <c r="O117" s="116"/>
    </row>
    <row r="118" spans="1:15" x14ac:dyDescent="0.3">
      <c r="A118" s="21"/>
      <c r="B118" s="21"/>
      <c r="C118" s="21"/>
      <c r="D118" s="21"/>
      <c r="E118" s="21"/>
      <c r="F118" s="21"/>
      <c r="G118" s="21"/>
      <c r="H118" s="21"/>
      <c r="K118" s="116"/>
      <c r="L118" s="116"/>
      <c r="N118" s="116"/>
      <c r="O118" s="116"/>
    </row>
    <row r="119" spans="1:15" x14ac:dyDescent="0.3">
      <c r="A119" s="21"/>
      <c r="B119" s="21"/>
      <c r="C119" s="21"/>
      <c r="D119" s="21"/>
      <c r="E119" s="21"/>
      <c r="F119" s="21"/>
      <c r="G119" s="21"/>
      <c r="H119" s="21"/>
      <c r="K119" s="116"/>
      <c r="L119" s="116"/>
      <c r="N119" s="116"/>
      <c r="O119" s="116"/>
    </row>
    <row r="120" spans="1:15" x14ac:dyDescent="0.3">
      <c r="A120" s="21"/>
      <c r="B120" s="21"/>
      <c r="C120" s="21"/>
      <c r="D120" s="21"/>
      <c r="E120" s="21"/>
      <c r="F120" s="21"/>
      <c r="G120" s="21"/>
      <c r="H120" s="21"/>
      <c r="K120" s="116"/>
      <c r="L120" s="116"/>
      <c r="N120" s="116"/>
      <c r="O120" s="116"/>
    </row>
    <row r="121" spans="1:15" x14ac:dyDescent="0.3">
      <c r="A121" s="21"/>
      <c r="B121" s="21"/>
      <c r="C121" s="21"/>
      <c r="D121" s="21"/>
      <c r="E121" s="21"/>
      <c r="F121" s="21"/>
      <c r="G121" s="21"/>
      <c r="H121" s="21"/>
      <c r="K121" s="116"/>
      <c r="L121" s="116"/>
      <c r="N121" s="116"/>
      <c r="O121" s="116"/>
    </row>
    <row r="122" spans="1:15" x14ac:dyDescent="0.3">
      <c r="A122" s="21"/>
      <c r="B122" s="21"/>
      <c r="C122" s="21"/>
      <c r="D122" s="21"/>
      <c r="E122" s="21"/>
      <c r="F122" s="21"/>
      <c r="G122" s="21"/>
      <c r="H122" s="21"/>
      <c r="K122" s="116"/>
      <c r="L122" s="116"/>
      <c r="N122" s="116"/>
      <c r="O122" s="116"/>
    </row>
    <row r="123" spans="1:15" x14ac:dyDescent="0.3">
      <c r="A123" s="21"/>
      <c r="B123" s="21"/>
      <c r="C123" s="21"/>
      <c r="D123" s="21"/>
      <c r="E123" s="21"/>
      <c r="F123" s="21"/>
      <c r="G123" s="21"/>
      <c r="H123" s="21"/>
      <c r="K123" s="116"/>
      <c r="L123" s="116"/>
      <c r="N123" s="116"/>
      <c r="O123" s="116"/>
    </row>
    <row r="124" spans="1:15" x14ac:dyDescent="0.3">
      <c r="A124" s="21"/>
      <c r="B124" s="21"/>
      <c r="C124" s="21"/>
      <c r="D124" s="21"/>
      <c r="E124" s="21"/>
      <c r="F124" s="21"/>
      <c r="G124" s="21"/>
      <c r="H124" s="21"/>
      <c r="K124" s="116"/>
      <c r="L124" s="116"/>
      <c r="N124" s="116"/>
      <c r="O124" s="116"/>
    </row>
    <row r="125" spans="1:15" x14ac:dyDescent="0.3">
      <c r="A125" s="21"/>
      <c r="B125" s="21"/>
      <c r="C125" s="21"/>
      <c r="D125" s="21"/>
      <c r="E125" s="21"/>
      <c r="F125" s="21"/>
      <c r="G125" s="21"/>
      <c r="H125" s="21"/>
      <c r="K125" s="116"/>
      <c r="L125" s="116"/>
      <c r="N125" s="116"/>
      <c r="O125" s="116"/>
    </row>
    <row r="126" spans="1:15" x14ac:dyDescent="0.3">
      <c r="A126" s="21"/>
      <c r="B126" s="21"/>
      <c r="C126" s="21"/>
      <c r="D126" s="21"/>
      <c r="E126" s="21"/>
      <c r="F126" s="21"/>
      <c r="G126" s="21"/>
      <c r="H126" s="21"/>
      <c r="K126" s="116"/>
      <c r="L126" s="116"/>
      <c r="N126" s="116"/>
      <c r="O126" s="116"/>
    </row>
    <row r="127" spans="1:15" x14ac:dyDescent="0.3">
      <c r="A127" s="21"/>
      <c r="B127" s="21"/>
      <c r="C127" s="21"/>
      <c r="D127" s="21"/>
      <c r="E127" s="21"/>
      <c r="F127" s="21"/>
      <c r="G127" s="21"/>
      <c r="H127" s="21"/>
      <c r="K127" s="116"/>
      <c r="L127" s="116"/>
      <c r="N127" s="116"/>
      <c r="O127" s="116"/>
    </row>
    <row r="128" spans="1:15" x14ac:dyDescent="0.3">
      <c r="A128" s="21"/>
      <c r="B128" s="21"/>
      <c r="C128" s="21"/>
      <c r="D128" s="21"/>
      <c r="E128" s="21"/>
      <c r="F128" s="21"/>
      <c r="G128" s="21"/>
      <c r="H128" s="21"/>
      <c r="K128" s="116"/>
      <c r="L128" s="116"/>
      <c r="N128" s="116"/>
      <c r="O128" s="116"/>
    </row>
    <row r="129" spans="1:15" x14ac:dyDescent="0.3">
      <c r="A129" s="21"/>
      <c r="B129" s="21"/>
      <c r="C129" s="21"/>
      <c r="D129" s="21"/>
      <c r="E129" s="21"/>
      <c r="F129" s="21"/>
      <c r="G129" s="21"/>
      <c r="H129" s="21"/>
      <c r="K129" s="116"/>
      <c r="L129" s="116"/>
      <c r="N129" s="116"/>
      <c r="O129" s="116"/>
    </row>
    <row r="130" spans="1:15" x14ac:dyDescent="0.3">
      <c r="A130" s="21"/>
      <c r="B130" s="21"/>
      <c r="C130" s="21"/>
      <c r="D130" s="21"/>
      <c r="E130" s="21"/>
      <c r="F130" s="21"/>
      <c r="G130" s="21"/>
      <c r="H130" s="21"/>
      <c r="K130" s="116"/>
      <c r="L130" s="116"/>
      <c r="N130" s="116"/>
      <c r="O130" s="116"/>
    </row>
    <row r="131" spans="1:15" x14ac:dyDescent="0.3">
      <c r="A131" s="21"/>
      <c r="B131" s="21"/>
      <c r="C131" s="21"/>
      <c r="D131" s="21"/>
      <c r="E131" s="21"/>
      <c r="F131" s="21"/>
      <c r="G131" s="21"/>
      <c r="H131" s="21"/>
      <c r="K131" s="116"/>
      <c r="L131" s="116"/>
      <c r="N131" s="116"/>
      <c r="O131" s="116"/>
    </row>
    <row r="132" spans="1:15" x14ac:dyDescent="0.3">
      <c r="A132" s="21"/>
      <c r="B132" s="21"/>
      <c r="C132" s="21"/>
      <c r="D132" s="21"/>
      <c r="E132" s="21"/>
      <c r="F132" s="21"/>
      <c r="G132" s="21"/>
      <c r="H132" s="21"/>
      <c r="K132" s="116"/>
      <c r="L132" s="116"/>
      <c r="N132" s="116"/>
      <c r="O132" s="116"/>
    </row>
    <row r="133" spans="1:15" x14ac:dyDescent="0.3">
      <c r="A133" s="21"/>
      <c r="B133" s="21"/>
      <c r="C133" s="21"/>
      <c r="D133" s="21"/>
      <c r="E133" s="21"/>
      <c r="F133" s="21"/>
      <c r="G133" s="21"/>
      <c r="H133" s="21"/>
      <c r="K133" s="116"/>
      <c r="L133" s="116"/>
      <c r="N133" s="116"/>
      <c r="O133" s="116"/>
    </row>
    <row r="134" spans="1:15" x14ac:dyDescent="0.3">
      <c r="A134" s="21"/>
      <c r="B134" s="21"/>
      <c r="C134" s="21"/>
      <c r="D134" s="21"/>
      <c r="E134" s="21"/>
      <c r="F134" s="21"/>
      <c r="G134" s="21"/>
      <c r="H134" s="21"/>
      <c r="K134" s="116"/>
      <c r="L134" s="116"/>
      <c r="N134" s="116"/>
      <c r="O134" s="116"/>
    </row>
    <row r="135" spans="1:15" x14ac:dyDescent="0.3">
      <c r="A135" s="21"/>
      <c r="B135" s="21"/>
      <c r="C135" s="21"/>
      <c r="D135" s="21"/>
      <c r="E135" s="21"/>
      <c r="F135" s="21"/>
      <c r="G135" s="21"/>
      <c r="H135" s="21"/>
      <c r="K135" s="116"/>
      <c r="L135" s="116"/>
      <c r="N135" s="116"/>
      <c r="O135" s="116"/>
    </row>
    <row r="136" spans="1:15" x14ac:dyDescent="0.3">
      <c r="A136" s="21"/>
      <c r="B136" s="21"/>
      <c r="C136" s="21"/>
      <c r="D136" s="21"/>
      <c r="E136" s="21"/>
      <c r="F136" s="21"/>
      <c r="G136" s="21"/>
      <c r="H136" s="21"/>
      <c r="K136" s="116"/>
      <c r="L136" s="116"/>
      <c r="N136" s="116"/>
      <c r="O136" s="116"/>
    </row>
    <row r="137" spans="1:15" x14ac:dyDescent="0.3">
      <c r="A137" s="21"/>
      <c r="B137" s="21"/>
      <c r="C137" s="21"/>
      <c r="D137" s="21"/>
      <c r="E137" s="21"/>
      <c r="F137" s="21"/>
      <c r="G137" s="21"/>
      <c r="H137" s="21"/>
      <c r="K137" s="116"/>
      <c r="L137" s="116"/>
      <c r="N137" s="116"/>
      <c r="O137" s="116"/>
    </row>
    <row r="138" spans="1:15" x14ac:dyDescent="0.3">
      <c r="A138" s="21"/>
      <c r="B138" s="21"/>
      <c r="C138" s="21"/>
      <c r="D138" s="21"/>
      <c r="E138" s="21"/>
      <c r="F138" s="21"/>
      <c r="G138" s="21"/>
      <c r="H138" s="21"/>
      <c r="K138" s="116"/>
      <c r="L138" s="116"/>
      <c r="N138" s="116"/>
      <c r="O138" s="116"/>
    </row>
    <row r="139" spans="1:15" x14ac:dyDescent="0.3">
      <c r="A139" s="21"/>
      <c r="B139" s="21"/>
      <c r="C139" s="21"/>
      <c r="D139" s="21"/>
      <c r="E139" s="21"/>
      <c r="F139" s="21"/>
      <c r="G139" s="21"/>
      <c r="H139" s="21"/>
      <c r="K139" s="116"/>
      <c r="L139" s="116"/>
      <c r="N139" s="116"/>
      <c r="O139" s="116"/>
    </row>
    <row r="140" spans="1:15" x14ac:dyDescent="0.3">
      <c r="A140" s="21"/>
      <c r="B140" s="21"/>
      <c r="C140" s="21"/>
      <c r="D140" s="21"/>
      <c r="E140" s="21"/>
      <c r="F140" s="21"/>
      <c r="G140" s="21"/>
      <c r="H140" s="21"/>
      <c r="K140" s="116"/>
      <c r="L140" s="116"/>
      <c r="N140" s="116"/>
      <c r="O140" s="116"/>
    </row>
    <row r="141" spans="1:15" x14ac:dyDescent="0.3">
      <c r="A141" s="21"/>
      <c r="B141" s="21"/>
      <c r="C141" s="21"/>
      <c r="D141" s="21"/>
      <c r="E141" s="21"/>
      <c r="F141" s="21"/>
      <c r="G141" s="21"/>
      <c r="H141" s="21"/>
      <c r="K141" s="116"/>
      <c r="L141" s="116"/>
      <c r="N141" s="116"/>
      <c r="O141" s="116"/>
    </row>
    <row r="142" spans="1:15" x14ac:dyDescent="0.3">
      <c r="A142" s="21"/>
      <c r="B142" s="21"/>
      <c r="C142" s="21"/>
      <c r="D142" s="21"/>
      <c r="E142" s="21"/>
      <c r="F142" s="21"/>
      <c r="G142" s="21"/>
      <c r="H142" s="21"/>
      <c r="K142" s="116"/>
      <c r="L142" s="116"/>
      <c r="N142" s="116"/>
      <c r="O142" s="116"/>
    </row>
    <row r="143" spans="1:15" x14ac:dyDescent="0.3">
      <c r="A143" s="21"/>
      <c r="B143" s="21"/>
      <c r="C143" s="21"/>
      <c r="D143" s="21"/>
      <c r="E143" s="21"/>
      <c r="F143" s="21"/>
      <c r="G143" s="21"/>
      <c r="H143" s="21"/>
      <c r="K143" s="116"/>
      <c r="L143" s="116"/>
      <c r="N143" s="116"/>
      <c r="O143" s="116"/>
    </row>
    <row r="144" spans="1:15" x14ac:dyDescent="0.3">
      <c r="A144" s="21"/>
      <c r="B144" s="21"/>
      <c r="C144" s="21"/>
      <c r="D144" s="21"/>
      <c r="E144" s="21"/>
      <c r="F144" s="21"/>
      <c r="G144" s="21"/>
      <c r="H144" s="21"/>
      <c r="K144" s="116"/>
      <c r="L144" s="116"/>
      <c r="N144" s="116"/>
      <c r="O144" s="116"/>
    </row>
    <row r="145" spans="1:15" x14ac:dyDescent="0.3">
      <c r="A145" s="21"/>
      <c r="B145" s="21"/>
      <c r="C145" s="21"/>
      <c r="D145" s="21"/>
      <c r="E145" s="21"/>
      <c r="F145" s="21"/>
      <c r="G145" s="21"/>
      <c r="H145" s="21"/>
      <c r="K145" s="116"/>
      <c r="L145" s="116"/>
      <c r="N145" s="116"/>
      <c r="O145" s="116"/>
    </row>
    <row r="146" spans="1:15" x14ac:dyDescent="0.3">
      <c r="A146" s="21"/>
      <c r="B146" s="21"/>
      <c r="C146" s="21"/>
      <c r="D146" s="21"/>
      <c r="E146" s="21"/>
      <c r="F146" s="21"/>
      <c r="G146" s="21"/>
      <c r="H146" s="21"/>
      <c r="K146" s="116"/>
      <c r="L146" s="116"/>
      <c r="N146" s="116"/>
      <c r="O146" s="116"/>
    </row>
    <row r="147" spans="1:15" x14ac:dyDescent="0.3">
      <c r="A147" s="21"/>
      <c r="B147" s="21"/>
      <c r="C147" s="21"/>
      <c r="D147" s="21"/>
      <c r="E147" s="21"/>
      <c r="F147" s="21"/>
      <c r="G147" s="21"/>
      <c r="H147" s="21"/>
      <c r="K147" s="116"/>
      <c r="L147" s="116"/>
      <c r="N147" s="116"/>
      <c r="O147" s="116"/>
    </row>
    <row r="148" spans="1:15" x14ac:dyDescent="0.3">
      <c r="A148" s="21"/>
      <c r="B148" s="21"/>
      <c r="C148" s="21"/>
      <c r="D148" s="21"/>
      <c r="E148" s="21"/>
      <c r="F148" s="21"/>
      <c r="G148" s="21"/>
      <c r="H148" s="21"/>
      <c r="K148" s="116"/>
      <c r="L148" s="116"/>
      <c r="N148" s="116"/>
      <c r="O148" s="116"/>
    </row>
    <row r="149" spans="1:15" x14ac:dyDescent="0.3">
      <c r="A149" s="21"/>
      <c r="B149" s="21"/>
      <c r="C149" s="21"/>
      <c r="D149" s="21"/>
      <c r="E149" s="21"/>
      <c r="F149" s="21"/>
      <c r="G149" s="21"/>
      <c r="H149" s="21"/>
      <c r="K149" s="116"/>
      <c r="L149" s="116"/>
      <c r="N149" s="116"/>
      <c r="O149" s="116"/>
    </row>
    <row r="150" spans="1:15" x14ac:dyDescent="0.3">
      <c r="A150" s="21"/>
      <c r="B150" s="21"/>
      <c r="C150" s="21"/>
      <c r="D150" s="21"/>
      <c r="E150" s="21"/>
      <c r="F150" s="21"/>
      <c r="G150" s="21"/>
      <c r="H150" s="21"/>
      <c r="K150" s="116"/>
      <c r="L150" s="116"/>
      <c r="N150" s="116"/>
      <c r="O150" s="116"/>
    </row>
    <row r="151" spans="1:15" x14ac:dyDescent="0.3">
      <c r="A151" s="21"/>
      <c r="B151" s="21"/>
      <c r="C151" s="21"/>
      <c r="D151" s="21"/>
      <c r="E151" s="21"/>
      <c r="F151" s="21"/>
      <c r="G151" s="21"/>
      <c r="H151" s="21"/>
      <c r="K151" s="116"/>
      <c r="L151" s="116"/>
      <c r="N151" s="116"/>
      <c r="O151" s="116"/>
    </row>
    <row r="152" spans="1:15" x14ac:dyDescent="0.3">
      <c r="A152" s="21"/>
      <c r="B152" s="21"/>
      <c r="C152" s="21"/>
      <c r="D152" s="21"/>
      <c r="E152" s="21"/>
      <c r="F152" s="21"/>
      <c r="G152" s="21"/>
      <c r="H152" s="21"/>
      <c r="K152" s="116"/>
      <c r="L152" s="116"/>
      <c r="N152" s="116"/>
      <c r="O152" s="116"/>
    </row>
    <row r="153" spans="1:15" x14ac:dyDescent="0.3">
      <c r="A153" s="21"/>
      <c r="B153" s="21"/>
      <c r="C153" s="21"/>
      <c r="D153" s="21"/>
      <c r="E153" s="21"/>
      <c r="F153" s="21"/>
      <c r="G153" s="21"/>
      <c r="H153" s="21"/>
      <c r="K153" s="116"/>
      <c r="L153" s="116"/>
      <c r="N153" s="116"/>
      <c r="O153" s="116"/>
    </row>
    <row r="154" spans="1:15" x14ac:dyDescent="0.3">
      <c r="A154" s="21"/>
      <c r="B154" s="21"/>
      <c r="C154" s="21"/>
      <c r="D154" s="21"/>
      <c r="E154" s="21"/>
      <c r="F154" s="21"/>
      <c r="G154" s="21"/>
      <c r="H154" s="21"/>
      <c r="K154" s="116"/>
      <c r="L154" s="116"/>
      <c r="N154" s="116"/>
      <c r="O154" s="116"/>
    </row>
    <row r="155" spans="1:15" x14ac:dyDescent="0.3">
      <c r="A155" s="21"/>
      <c r="B155" s="21"/>
      <c r="C155" s="21"/>
      <c r="D155" s="21"/>
      <c r="E155" s="21"/>
      <c r="F155" s="21"/>
      <c r="G155" s="21"/>
      <c r="H155" s="21"/>
      <c r="K155" s="116"/>
      <c r="L155" s="116"/>
      <c r="N155" s="116"/>
      <c r="O155" s="116"/>
    </row>
    <row r="156" spans="1:15" x14ac:dyDescent="0.3">
      <c r="A156" s="21"/>
      <c r="B156" s="21"/>
      <c r="C156" s="21"/>
      <c r="D156" s="21"/>
      <c r="E156" s="21"/>
      <c r="F156" s="21"/>
      <c r="G156" s="21"/>
      <c r="H156" s="21"/>
      <c r="K156" s="116"/>
      <c r="L156" s="116"/>
      <c r="N156" s="116"/>
      <c r="O156" s="116"/>
    </row>
    <row r="157" spans="1:15" x14ac:dyDescent="0.3">
      <c r="A157" s="21"/>
      <c r="B157" s="21"/>
      <c r="C157" s="21"/>
      <c r="D157" s="21"/>
      <c r="E157" s="21"/>
      <c r="F157" s="21"/>
      <c r="G157" s="21"/>
      <c r="H157" s="21"/>
      <c r="K157" s="116"/>
      <c r="L157" s="116"/>
      <c r="N157" s="116"/>
      <c r="O157" s="116"/>
    </row>
    <row r="158" spans="1:15" x14ac:dyDescent="0.3">
      <c r="A158" s="21"/>
      <c r="B158" s="21"/>
      <c r="C158" s="21"/>
      <c r="D158" s="21"/>
      <c r="E158" s="21"/>
      <c r="F158" s="21"/>
      <c r="G158" s="21"/>
      <c r="H158" s="21"/>
      <c r="K158" s="116"/>
      <c r="L158" s="116"/>
      <c r="N158" s="116"/>
      <c r="O158" s="116"/>
    </row>
    <row r="159" spans="1:15" x14ac:dyDescent="0.3">
      <c r="A159" s="21"/>
      <c r="B159" s="21"/>
      <c r="C159" s="21"/>
      <c r="D159" s="21"/>
      <c r="E159" s="21"/>
      <c r="F159" s="21"/>
      <c r="G159" s="21"/>
      <c r="H159" s="21"/>
      <c r="K159" s="116"/>
      <c r="L159" s="116"/>
      <c r="N159" s="116"/>
      <c r="O159" s="116"/>
    </row>
    <row r="160" spans="1:15" x14ac:dyDescent="0.3">
      <c r="A160" s="21"/>
      <c r="B160" s="21"/>
      <c r="C160" s="21"/>
      <c r="D160" s="21"/>
      <c r="E160" s="21"/>
      <c r="F160" s="21"/>
      <c r="G160" s="21"/>
      <c r="H160" s="21"/>
      <c r="K160" s="116"/>
      <c r="L160" s="116"/>
      <c r="N160" s="116"/>
      <c r="O160" s="116"/>
    </row>
    <row r="161" spans="1:15" x14ac:dyDescent="0.3">
      <c r="A161" s="21"/>
      <c r="B161" s="21"/>
      <c r="C161" s="21"/>
      <c r="D161" s="21"/>
      <c r="E161" s="21"/>
      <c r="F161" s="21"/>
      <c r="G161" s="21"/>
      <c r="H161" s="21"/>
      <c r="K161" s="116"/>
      <c r="L161" s="116"/>
      <c r="N161" s="116"/>
      <c r="O161" s="116"/>
    </row>
    <row r="162" spans="1:15" x14ac:dyDescent="0.3">
      <c r="A162" s="21"/>
      <c r="B162" s="21"/>
      <c r="C162" s="21"/>
      <c r="D162" s="21"/>
      <c r="E162" s="21"/>
      <c r="F162" s="21"/>
      <c r="G162" s="21"/>
      <c r="H162" s="21"/>
      <c r="K162" s="116"/>
      <c r="L162" s="116"/>
      <c r="N162" s="116"/>
      <c r="O162" s="116"/>
    </row>
    <row r="163" spans="1:15" x14ac:dyDescent="0.3">
      <c r="A163" s="21"/>
      <c r="B163" s="21"/>
      <c r="C163" s="21"/>
      <c r="D163" s="21"/>
      <c r="E163" s="21"/>
      <c r="F163" s="21"/>
      <c r="G163" s="21"/>
      <c r="H163" s="21"/>
      <c r="K163" s="116"/>
      <c r="L163" s="116"/>
      <c r="N163" s="116"/>
      <c r="O163" s="116"/>
    </row>
    <row r="164" spans="1:15" x14ac:dyDescent="0.3">
      <c r="A164" s="21"/>
      <c r="B164" s="21"/>
      <c r="C164" s="21"/>
      <c r="D164" s="21"/>
      <c r="E164" s="21"/>
      <c r="F164" s="21"/>
      <c r="G164" s="21"/>
      <c r="H164" s="21"/>
      <c r="K164" s="116"/>
      <c r="L164" s="116"/>
      <c r="N164" s="116"/>
      <c r="O164" s="116"/>
    </row>
    <row r="165" spans="1:15" x14ac:dyDescent="0.3">
      <c r="A165" s="21"/>
      <c r="B165" s="21"/>
      <c r="C165" s="21"/>
      <c r="D165" s="21"/>
      <c r="E165" s="21"/>
      <c r="F165" s="21"/>
      <c r="G165" s="21"/>
      <c r="H165" s="21"/>
      <c r="K165" s="116"/>
      <c r="L165" s="116"/>
      <c r="N165" s="116"/>
      <c r="O165" s="116"/>
    </row>
    <row r="166" spans="1:15" x14ac:dyDescent="0.3">
      <c r="A166" s="21"/>
      <c r="B166" s="21"/>
      <c r="C166" s="21"/>
      <c r="D166" s="21"/>
      <c r="E166" s="21"/>
      <c r="F166" s="21"/>
      <c r="G166" s="21"/>
      <c r="H166" s="21"/>
      <c r="K166" s="116"/>
      <c r="L166" s="116"/>
      <c r="N166" s="116"/>
      <c r="O166" s="116"/>
    </row>
    <row r="167" spans="1:15" x14ac:dyDescent="0.3">
      <c r="A167" s="21"/>
      <c r="B167" s="21"/>
      <c r="C167" s="21"/>
      <c r="D167" s="21"/>
      <c r="E167" s="21"/>
      <c r="F167" s="21"/>
      <c r="G167" s="21"/>
      <c r="H167" s="21"/>
      <c r="K167" s="116"/>
      <c r="L167" s="116"/>
      <c r="N167" s="116"/>
      <c r="O167" s="116"/>
    </row>
    <row r="168" spans="1:15" x14ac:dyDescent="0.3">
      <c r="A168" s="21"/>
      <c r="B168" s="21"/>
      <c r="C168" s="21"/>
      <c r="D168" s="21"/>
      <c r="E168" s="21"/>
      <c r="F168" s="21"/>
      <c r="G168" s="21"/>
      <c r="H168" s="21"/>
      <c r="K168" s="116"/>
      <c r="L168" s="116"/>
      <c r="N168" s="116"/>
      <c r="O168" s="116"/>
    </row>
    <row r="169" spans="1:15" x14ac:dyDescent="0.3">
      <c r="A169" s="21"/>
      <c r="B169" s="21"/>
      <c r="C169" s="21"/>
      <c r="D169" s="21"/>
      <c r="E169" s="21"/>
      <c r="F169" s="21"/>
      <c r="G169" s="21"/>
      <c r="H169" s="21"/>
      <c r="K169" s="116"/>
      <c r="L169" s="116"/>
      <c r="N169" s="116"/>
      <c r="O169" s="116"/>
    </row>
    <row r="170" spans="1:15" x14ac:dyDescent="0.3">
      <c r="A170" s="21"/>
      <c r="B170" s="21"/>
      <c r="C170" s="21"/>
      <c r="D170" s="21"/>
      <c r="E170" s="21"/>
      <c r="F170" s="21"/>
      <c r="G170" s="21"/>
      <c r="H170" s="21"/>
      <c r="K170" s="116"/>
      <c r="L170" s="116"/>
      <c r="N170" s="116"/>
      <c r="O170" s="116"/>
    </row>
    <row r="171" spans="1:15" x14ac:dyDescent="0.3">
      <c r="A171" s="21"/>
      <c r="B171" s="21"/>
      <c r="C171" s="21"/>
      <c r="D171" s="21"/>
      <c r="E171" s="21"/>
      <c r="F171" s="21"/>
      <c r="G171" s="21"/>
      <c r="H171" s="21"/>
      <c r="K171" s="116"/>
      <c r="L171" s="116"/>
      <c r="N171" s="116"/>
      <c r="O171" s="116"/>
    </row>
    <row r="172" spans="1:15" x14ac:dyDescent="0.3">
      <c r="A172" s="21"/>
      <c r="B172" s="21"/>
      <c r="C172" s="21"/>
      <c r="D172" s="21"/>
      <c r="E172" s="21"/>
      <c r="F172" s="21"/>
      <c r="G172" s="21"/>
      <c r="H172" s="21"/>
      <c r="K172" s="116"/>
      <c r="L172" s="116"/>
      <c r="N172" s="116"/>
      <c r="O172" s="116"/>
    </row>
    <row r="173" spans="1:15" x14ac:dyDescent="0.3">
      <c r="A173" s="21"/>
      <c r="B173" s="21"/>
      <c r="C173" s="21"/>
      <c r="D173" s="21"/>
      <c r="E173" s="21"/>
      <c r="F173" s="21"/>
      <c r="G173" s="21"/>
      <c r="H173" s="21"/>
      <c r="K173" s="116"/>
      <c r="L173" s="116"/>
      <c r="N173" s="116"/>
      <c r="O173" s="116"/>
    </row>
    <row r="174" spans="1:15" x14ac:dyDescent="0.3">
      <c r="A174" s="21"/>
      <c r="B174" s="21"/>
      <c r="C174" s="21"/>
      <c r="D174" s="21"/>
      <c r="E174" s="21"/>
      <c r="F174" s="21"/>
      <c r="G174" s="21"/>
      <c r="H174" s="21"/>
      <c r="K174" s="116"/>
      <c r="L174" s="116"/>
      <c r="N174" s="116"/>
      <c r="O174" s="116"/>
    </row>
    <row r="175" spans="1:15" x14ac:dyDescent="0.3">
      <c r="A175" s="21"/>
      <c r="B175" s="21"/>
      <c r="C175" s="21"/>
      <c r="D175" s="21"/>
      <c r="E175" s="21"/>
      <c r="F175" s="21"/>
      <c r="G175" s="21"/>
      <c r="H175" s="21"/>
      <c r="K175" s="116"/>
      <c r="L175" s="116"/>
      <c r="N175" s="116"/>
      <c r="O175" s="116"/>
    </row>
    <row r="176" spans="1:15" x14ac:dyDescent="0.3">
      <c r="A176" s="21"/>
      <c r="B176" s="21"/>
      <c r="C176" s="21"/>
      <c r="D176" s="21"/>
      <c r="E176" s="21"/>
      <c r="F176" s="21"/>
      <c r="G176" s="21"/>
      <c r="H176" s="21"/>
      <c r="K176" s="116"/>
      <c r="L176" s="116"/>
      <c r="N176" s="116"/>
      <c r="O176" s="116"/>
    </row>
    <row r="177" spans="1:8" x14ac:dyDescent="0.3">
      <c r="A177" s="21"/>
      <c r="B177" s="21"/>
      <c r="C177" s="21"/>
      <c r="D177" s="21"/>
      <c r="E177" s="21"/>
      <c r="F177" s="21"/>
      <c r="G177" s="21"/>
      <c r="H177" s="21"/>
    </row>
    <row r="178" spans="1:8" x14ac:dyDescent="0.3">
      <c r="A178" s="21"/>
      <c r="B178" s="21"/>
      <c r="C178" s="21"/>
      <c r="D178" s="21"/>
      <c r="E178" s="21"/>
      <c r="F178" s="21"/>
      <c r="G178" s="21"/>
      <c r="H178" s="21"/>
    </row>
    <row r="179" spans="1:8" x14ac:dyDescent="0.3">
      <c r="A179" s="21"/>
      <c r="B179" s="21"/>
      <c r="C179" s="21"/>
      <c r="D179" s="21"/>
      <c r="E179" s="21"/>
      <c r="F179" s="21"/>
      <c r="G179" s="21"/>
    </row>
    <row r="180" spans="1:8" x14ac:dyDescent="0.3">
      <c r="A180" s="21"/>
      <c r="B180" s="21"/>
      <c r="C180" s="21"/>
      <c r="D180" s="21"/>
      <c r="E180" s="21"/>
      <c r="F180" s="21"/>
      <c r="G180" s="21"/>
    </row>
  </sheetData>
  <mergeCells count="27">
    <mergeCell ref="A53:I53"/>
    <mergeCell ref="A54:I54"/>
    <mergeCell ref="K1:L1"/>
    <mergeCell ref="N1:O1"/>
    <mergeCell ref="A2:F2"/>
    <mergeCell ref="A3:D3"/>
    <mergeCell ref="E3:F3"/>
    <mergeCell ref="A1:I1"/>
    <mergeCell ref="A4:A21"/>
    <mergeCell ref="B4:B21"/>
    <mergeCell ref="C18:D21"/>
    <mergeCell ref="E18:F21"/>
    <mergeCell ref="C4:D6"/>
    <mergeCell ref="E4:F6"/>
    <mergeCell ref="C7:D17"/>
    <mergeCell ref="E7:F17"/>
    <mergeCell ref="C22:D25"/>
    <mergeCell ref="A22:A35"/>
    <mergeCell ref="B22:B35"/>
    <mergeCell ref="E22:F25"/>
    <mergeCell ref="A52:I52"/>
    <mergeCell ref="C26:D32"/>
    <mergeCell ref="E26:F32"/>
    <mergeCell ref="C33:D35"/>
    <mergeCell ref="E33:F35"/>
    <mergeCell ref="E36:F51"/>
    <mergeCell ref="A36:D51"/>
  </mergeCells>
  <pageMargins left="0.7" right="0.7" top="0.75" bottom="0.75" header="0.3" footer="0.3"/>
  <pageSetup paperSize="9" orientation="portrait" r:id="rId1"/>
  <ignoredErrors>
    <ignoredError sqref="L38:O38 L31 O3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0"/>
  <sheetViews>
    <sheetView showGridLines="0" workbookViewId="0">
      <selection activeCell="B10" sqref="B10"/>
    </sheetView>
  </sheetViews>
  <sheetFormatPr defaultRowHeight="15" x14ac:dyDescent="0.25"/>
  <cols>
    <col min="1" max="1" width="55.42578125" bestFit="1" customWidth="1"/>
    <col min="2" max="2" width="63.140625" bestFit="1" customWidth="1"/>
  </cols>
  <sheetData>
    <row r="1" spans="1:2" x14ac:dyDescent="0.25">
      <c r="A1" s="146" t="s">
        <v>212</v>
      </c>
      <c r="B1" s="146" t="s">
        <v>307</v>
      </c>
    </row>
    <row r="2" spans="1:2" ht="16.5" x14ac:dyDescent="0.3">
      <c r="A2" s="147" t="s">
        <v>301</v>
      </c>
      <c r="B2" s="148" t="s">
        <v>308</v>
      </c>
    </row>
    <row r="3" spans="1:2" x14ac:dyDescent="0.25">
      <c r="A3" s="147" t="s">
        <v>104</v>
      </c>
      <c r="B3" s="147" t="s">
        <v>309</v>
      </c>
    </row>
    <row r="4" spans="1:2" x14ac:dyDescent="0.25">
      <c r="A4" s="147" t="s">
        <v>206</v>
      </c>
      <c r="B4" s="147" t="s">
        <v>310</v>
      </c>
    </row>
    <row r="5" spans="1:2" x14ac:dyDescent="0.25">
      <c r="A5" s="147" t="s">
        <v>188</v>
      </c>
      <c r="B5" s="147" t="s">
        <v>311</v>
      </c>
    </row>
    <row r="6" spans="1:2" x14ac:dyDescent="0.25">
      <c r="A6" s="147" t="s">
        <v>234</v>
      </c>
      <c r="B6" s="147" t="s">
        <v>312</v>
      </c>
    </row>
    <row r="7" spans="1:2" x14ac:dyDescent="0.25">
      <c r="A7" s="147" t="s">
        <v>208</v>
      </c>
      <c r="B7" s="147" t="s">
        <v>313</v>
      </c>
    </row>
    <row r="8" spans="1:2" x14ac:dyDescent="0.25">
      <c r="A8" s="147" t="s">
        <v>274</v>
      </c>
      <c r="B8" s="147" t="s">
        <v>314</v>
      </c>
    </row>
    <row r="9" spans="1:2" x14ac:dyDescent="0.25">
      <c r="A9" s="147" t="s">
        <v>305</v>
      </c>
      <c r="B9" s="147" t="s">
        <v>315</v>
      </c>
    </row>
    <row r="10" spans="1:2" x14ac:dyDescent="0.25">
      <c r="A10" s="147" t="s">
        <v>235</v>
      </c>
      <c r="B10" s="147" t="s">
        <v>316</v>
      </c>
    </row>
    <row r="11" spans="1:2" x14ac:dyDescent="0.25">
      <c r="A11" s="147" t="s">
        <v>275</v>
      </c>
      <c r="B11" s="147" t="s">
        <v>317</v>
      </c>
    </row>
    <row r="12" spans="1:2" x14ac:dyDescent="0.25">
      <c r="A12" s="147" t="s">
        <v>276</v>
      </c>
      <c r="B12" s="147" t="s">
        <v>318</v>
      </c>
    </row>
    <row r="13" spans="1:2" x14ac:dyDescent="0.25">
      <c r="A13" s="147" t="s">
        <v>237</v>
      </c>
      <c r="B13" s="147" t="s">
        <v>319</v>
      </c>
    </row>
    <row r="14" spans="1:2" x14ac:dyDescent="0.25">
      <c r="A14" s="147" t="s">
        <v>190</v>
      </c>
      <c r="B14" s="147" t="s">
        <v>320</v>
      </c>
    </row>
    <row r="15" spans="1:2" x14ac:dyDescent="0.25">
      <c r="A15" s="147" t="s">
        <v>272</v>
      </c>
      <c r="B15" s="147" t="s">
        <v>321</v>
      </c>
    </row>
    <row r="16" spans="1:2" x14ac:dyDescent="0.25">
      <c r="A16" s="147" t="s">
        <v>340</v>
      </c>
      <c r="B16" s="147" t="s">
        <v>342</v>
      </c>
    </row>
    <row r="17" spans="1:2" x14ac:dyDescent="0.25">
      <c r="A17" s="147" t="s">
        <v>192</v>
      </c>
      <c r="B17" s="147" t="s">
        <v>322</v>
      </c>
    </row>
    <row r="18" spans="1:2" x14ac:dyDescent="0.25">
      <c r="A18" s="147" t="s">
        <v>236</v>
      </c>
      <c r="B18" s="147" t="s">
        <v>323</v>
      </c>
    </row>
    <row r="19" spans="1:2" x14ac:dyDescent="0.25">
      <c r="A19" s="147" t="s">
        <v>207</v>
      </c>
      <c r="B19" s="147" t="s">
        <v>324</v>
      </c>
    </row>
    <row r="20" spans="1:2" x14ac:dyDescent="0.25">
      <c r="A20" s="147" t="s">
        <v>193</v>
      </c>
      <c r="B20" s="147" t="s">
        <v>325</v>
      </c>
    </row>
    <row r="21" spans="1:2" x14ac:dyDescent="0.25">
      <c r="A21" s="147" t="s">
        <v>196</v>
      </c>
      <c r="B21" s="147" t="s">
        <v>326</v>
      </c>
    </row>
    <row r="22" spans="1:2" x14ac:dyDescent="0.25">
      <c r="A22" s="147" t="s">
        <v>239</v>
      </c>
      <c r="B22" s="147" t="s">
        <v>327</v>
      </c>
    </row>
    <row r="23" spans="1:2" x14ac:dyDescent="0.25">
      <c r="A23" s="147" t="s">
        <v>291</v>
      </c>
      <c r="B23" s="147" t="s">
        <v>328</v>
      </c>
    </row>
    <row r="24" spans="1:2" x14ac:dyDescent="0.25">
      <c r="A24" s="147" t="s">
        <v>277</v>
      </c>
      <c r="B24" s="147" t="s">
        <v>329</v>
      </c>
    </row>
    <row r="25" spans="1:2" x14ac:dyDescent="0.25">
      <c r="A25" s="147" t="s">
        <v>198</v>
      </c>
      <c r="B25" s="147" t="s">
        <v>330</v>
      </c>
    </row>
    <row r="26" spans="1:2" x14ac:dyDescent="0.25">
      <c r="A26" s="147" t="s">
        <v>199</v>
      </c>
      <c r="B26" s="147" t="s">
        <v>331</v>
      </c>
    </row>
    <row r="27" spans="1:2" x14ac:dyDescent="0.25">
      <c r="A27" s="147" t="s">
        <v>304</v>
      </c>
      <c r="B27" s="147" t="s">
        <v>332</v>
      </c>
    </row>
    <row r="28" spans="1:2" x14ac:dyDescent="0.25">
      <c r="A28" s="147" t="s">
        <v>381</v>
      </c>
      <c r="B28" s="147" t="s">
        <v>385</v>
      </c>
    </row>
    <row r="29" spans="1:2" x14ac:dyDescent="0.25">
      <c r="A29" s="147" t="s">
        <v>290</v>
      </c>
      <c r="B29" s="147" t="s">
        <v>386</v>
      </c>
    </row>
    <row r="30" spans="1:2" x14ac:dyDescent="0.25">
      <c r="A30" s="147" t="s">
        <v>200</v>
      </c>
      <c r="B30" s="147" t="s">
        <v>333</v>
      </c>
    </row>
    <row r="31" spans="1:2" x14ac:dyDescent="0.25">
      <c r="A31" s="147" t="s">
        <v>273</v>
      </c>
      <c r="B31" s="147" t="s">
        <v>334</v>
      </c>
    </row>
    <row r="32" spans="1:2" x14ac:dyDescent="0.25">
      <c r="A32" s="147" t="s">
        <v>238</v>
      </c>
      <c r="B32" s="147" t="s">
        <v>335</v>
      </c>
    </row>
    <row r="33" spans="1:2" x14ac:dyDescent="0.25">
      <c r="A33" s="147" t="s">
        <v>183</v>
      </c>
      <c r="B33" s="147" t="s">
        <v>336</v>
      </c>
    </row>
    <row r="34" spans="1:2" ht="16.5" x14ac:dyDescent="0.3">
      <c r="A34" s="147" t="s">
        <v>218</v>
      </c>
      <c r="B34" s="148" t="s">
        <v>308</v>
      </c>
    </row>
    <row r="35" spans="1:2" ht="16.5" x14ac:dyDescent="0.3">
      <c r="A35" s="147" t="s">
        <v>225</v>
      </c>
      <c r="B35" s="148" t="s">
        <v>308</v>
      </c>
    </row>
    <row r="36" spans="1:2" ht="16.5" x14ac:dyDescent="0.3">
      <c r="A36" s="147" t="s">
        <v>203</v>
      </c>
      <c r="B36" s="148" t="s">
        <v>308</v>
      </c>
    </row>
    <row r="37" spans="1:2" x14ac:dyDescent="0.25">
      <c r="A37" s="147" t="s">
        <v>292</v>
      </c>
      <c r="B37" s="147" t="s">
        <v>337</v>
      </c>
    </row>
    <row r="38" spans="1:2" x14ac:dyDescent="0.25">
      <c r="A38" s="147" t="s">
        <v>293</v>
      </c>
      <c r="B38" s="147" t="s">
        <v>338</v>
      </c>
    </row>
    <row r="39" spans="1:2" x14ac:dyDescent="0.25">
      <c r="A39" s="149" t="s">
        <v>306</v>
      </c>
      <c r="B39" s="150" t="s">
        <v>339</v>
      </c>
    </row>
    <row r="40" spans="1:2" ht="16.5" x14ac:dyDescent="0.3">
      <c r="A40" s="147" t="s">
        <v>231</v>
      </c>
      <c r="B40" s="148" t="s">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5"/>
  <sheetViews>
    <sheetView showGridLines="0" workbookViewId="0">
      <selection activeCell="I7" sqref="I7:I9"/>
    </sheetView>
  </sheetViews>
  <sheetFormatPr defaultRowHeight="15" x14ac:dyDescent="0.25"/>
  <cols>
    <col min="1" max="1" width="18.5703125" style="1" customWidth="1"/>
    <col min="2" max="6" width="9.140625" style="1"/>
    <col min="7" max="7" width="9.140625" style="123"/>
    <col min="8" max="12" width="9.140625" style="1"/>
  </cols>
  <sheetData>
    <row r="1" spans="1:12" x14ac:dyDescent="0.25">
      <c r="A1" s="10" t="s">
        <v>205</v>
      </c>
      <c r="I1" s="130" t="s">
        <v>1</v>
      </c>
      <c r="J1" s="130" t="s">
        <v>298</v>
      </c>
      <c r="K1" s="130" t="s">
        <v>299</v>
      </c>
      <c r="L1" s="130" t="s">
        <v>300</v>
      </c>
    </row>
    <row r="2" spans="1:12" x14ac:dyDescent="0.25">
      <c r="A2" s="1" t="s">
        <v>214</v>
      </c>
      <c r="I2" s="27">
        <v>0</v>
      </c>
      <c r="J2" s="27" t="s">
        <v>373</v>
      </c>
      <c r="K2" s="27" t="s">
        <v>302</v>
      </c>
      <c r="L2" s="140">
        <v>0.21</v>
      </c>
    </row>
    <row r="3" spans="1:12" x14ac:dyDescent="0.25">
      <c r="A3" s="1" t="s">
        <v>215</v>
      </c>
      <c r="I3" s="27">
        <v>10</v>
      </c>
      <c r="J3" s="27" t="s">
        <v>374</v>
      </c>
      <c r="K3" s="27" t="s">
        <v>287</v>
      </c>
      <c r="L3" s="140">
        <v>0.1236</v>
      </c>
    </row>
    <row r="4" spans="1:12" x14ac:dyDescent="0.25">
      <c r="A4" s="1" t="s">
        <v>216</v>
      </c>
      <c r="I4" s="27">
        <v>20</v>
      </c>
      <c r="J4" s="27" t="s">
        <v>375</v>
      </c>
      <c r="K4" s="27" t="s">
        <v>303</v>
      </c>
      <c r="L4" s="140">
        <v>3.9E-2</v>
      </c>
    </row>
    <row r="5" spans="1:12" x14ac:dyDescent="0.25">
      <c r="A5" s="1" t="s">
        <v>217</v>
      </c>
      <c r="I5" s="27">
        <v>30</v>
      </c>
      <c r="J5" s="27" t="s">
        <v>376</v>
      </c>
      <c r="K5" s="27" t="s">
        <v>285</v>
      </c>
      <c r="L5" s="140">
        <v>1.8599999999999998E-2</v>
      </c>
    </row>
    <row r="6" spans="1:12" x14ac:dyDescent="0.25">
      <c r="I6" s="27">
        <v>50</v>
      </c>
      <c r="J6" s="27" t="s">
        <v>377</v>
      </c>
      <c r="K6" s="27" t="s">
        <v>286</v>
      </c>
      <c r="L6" s="140">
        <v>8.0000000000000002E-3</v>
      </c>
    </row>
    <row r="7" spans="1:12" x14ac:dyDescent="0.25">
      <c r="A7" s="10" t="s">
        <v>213</v>
      </c>
      <c r="I7" s="167">
        <v>65</v>
      </c>
      <c r="J7" s="27" t="s">
        <v>378</v>
      </c>
      <c r="K7" s="27" t="s">
        <v>282</v>
      </c>
      <c r="L7" s="140">
        <v>5.1999999999999998E-3</v>
      </c>
    </row>
    <row r="8" spans="1:12" x14ac:dyDescent="0.25">
      <c r="A8" s="12">
        <v>1</v>
      </c>
      <c r="I8" s="167">
        <v>70</v>
      </c>
      <c r="J8" s="27" t="s">
        <v>379</v>
      </c>
      <c r="K8" s="27" t="s">
        <v>283</v>
      </c>
      <c r="L8" s="140">
        <v>8.0000000000000004E-4</v>
      </c>
    </row>
    <row r="9" spans="1:12" x14ac:dyDescent="0.25">
      <c r="A9" s="12">
        <v>2</v>
      </c>
      <c r="I9" s="167">
        <v>75</v>
      </c>
      <c r="J9" s="27" t="s">
        <v>380</v>
      </c>
      <c r="K9" s="27" t="s">
        <v>284</v>
      </c>
      <c r="L9" s="140">
        <v>2.9999999999999997E-4</v>
      </c>
    </row>
    <row r="10" spans="1:12" x14ac:dyDescent="0.25">
      <c r="A10" s="12">
        <v>3</v>
      </c>
    </row>
    <row r="11" spans="1:12" x14ac:dyDescent="0.25">
      <c r="A11" s="12">
        <v>4</v>
      </c>
    </row>
    <row r="12" spans="1:12" x14ac:dyDescent="0.25">
      <c r="A12" s="12">
        <v>5</v>
      </c>
      <c r="I12" s="143"/>
      <c r="J12" s="143"/>
      <c r="K12" s="143"/>
      <c r="L12" s="143"/>
    </row>
    <row r="13" spans="1:12" x14ac:dyDescent="0.25">
      <c r="A13" s="12" t="s">
        <v>358</v>
      </c>
      <c r="I13" s="143"/>
      <c r="J13" s="143"/>
      <c r="K13" s="143"/>
      <c r="L13" s="143"/>
    </row>
    <row r="14" spans="1:12" x14ac:dyDescent="0.25">
      <c r="I14" s="144"/>
      <c r="J14" s="144"/>
      <c r="K14" s="144"/>
      <c r="L14" s="145"/>
    </row>
    <row r="15" spans="1:12" x14ac:dyDescent="0.25">
      <c r="A15" s="1" t="s">
        <v>242</v>
      </c>
      <c r="G15" s="141"/>
      <c r="I15" s="144"/>
      <c r="J15" s="144"/>
      <c r="K15" s="144"/>
      <c r="L15" s="145"/>
    </row>
    <row r="16" spans="1:12" x14ac:dyDescent="0.25">
      <c r="A16" s="1" t="s">
        <v>243</v>
      </c>
      <c r="G16" s="2"/>
      <c r="I16" s="144"/>
      <c r="J16" s="144"/>
      <c r="K16" s="144"/>
      <c r="L16" s="145"/>
    </row>
    <row r="17" spans="1:12" x14ac:dyDescent="0.25">
      <c r="A17" s="1" t="s">
        <v>244</v>
      </c>
      <c r="G17" s="2"/>
      <c r="I17" s="144"/>
      <c r="J17" s="144"/>
      <c r="K17" s="144"/>
      <c r="L17" s="145"/>
    </row>
    <row r="18" spans="1:12" x14ac:dyDescent="0.25">
      <c r="A18" s="1" t="s">
        <v>245</v>
      </c>
      <c r="G18" s="2"/>
      <c r="I18" s="144"/>
      <c r="J18" s="144"/>
      <c r="K18" s="144"/>
      <c r="L18" s="145"/>
    </row>
    <row r="19" spans="1:12" x14ac:dyDescent="0.25">
      <c r="A19" s="1" t="s">
        <v>246</v>
      </c>
      <c r="G19" s="2"/>
      <c r="I19" s="144"/>
      <c r="J19" s="144"/>
      <c r="K19" s="144"/>
      <c r="L19" s="145"/>
    </row>
    <row r="20" spans="1:12" x14ac:dyDescent="0.25">
      <c r="A20" s="1" t="s">
        <v>247</v>
      </c>
      <c r="G20" s="2"/>
      <c r="I20" s="144"/>
      <c r="J20" s="144"/>
      <c r="K20" s="144"/>
      <c r="L20" s="145"/>
    </row>
    <row r="21" spans="1:12" x14ac:dyDescent="0.25">
      <c r="G21" s="2"/>
      <c r="I21" s="144"/>
      <c r="J21" s="144"/>
      <c r="K21" s="144"/>
      <c r="L21" s="145"/>
    </row>
    <row r="22" spans="1:12" x14ac:dyDescent="0.25">
      <c r="G22" s="141"/>
    </row>
    <row r="23" spans="1:12" x14ac:dyDescent="0.25">
      <c r="A23" s="1" t="s">
        <v>294</v>
      </c>
    </row>
    <row r="24" spans="1:12" x14ac:dyDescent="0.25">
      <c r="A24" s="1" t="s">
        <v>239</v>
      </c>
    </row>
    <row r="25" spans="1:12" x14ac:dyDescent="0.25">
      <c r="A25" s="1" t="s">
        <v>295</v>
      </c>
    </row>
    <row r="26" spans="1:12" x14ac:dyDescent="0.25">
      <c r="A26" s="1" t="s">
        <v>296</v>
      </c>
    </row>
    <row r="27" spans="1:12" x14ac:dyDescent="0.25">
      <c r="A27" s="1" t="s">
        <v>297</v>
      </c>
    </row>
    <row r="30" spans="1:12" x14ac:dyDescent="0.25">
      <c r="A30" s="1" t="s">
        <v>354</v>
      </c>
    </row>
    <row r="31" spans="1:12" x14ac:dyDescent="0.25">
      <c r="A31" s="1" t="s">
        <v>355</v>
      </c>
    </row>
    <row r="32" spans="1:12" x14ac:dyDescent="0.25">
      <c r="A32" s="1" t="s">
        <v>358</v>
      </c>
    </row>
    <row r="35" spans="1:2" x14ac:dyDescent="0.25">
      <c r="A35" s="170">
        <v>41000</v>
      </c>
      <c r="B35" s="170"/>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
  <sheetViews>
    <sheetView showGridLines="0" workbookViewId="0">
      <selection activeCell="G15" sqref="G15"/>
    </sheetView>
  </sheetViews>
  <sheetFormatPr defaultRowHeight="15" x14ac:dyDescent="0.25"/>
  <cols>
    <col min="1" max="1" width="39.5703125" bestFit="1" customWidth="1"/>
    <col min="2" max="3" width="12.7109375" bestFit="1" customWidth="1"/>
    <col min="5" max="5" width="18.28515625" bestFit="1" customWidth="1"/>
    <col min="6" max="6" width="17.28515625" bestFit="1" customWidth="1"/>
    <col min="7" max="7" width="12.5703125" bestFit="1" customWidth="1"/>
    <col min="8" max="8" width="11.5703125" bestFit="1" customWidth="1"/>
  </cols>
  <sheetData>
    <row r="1" spans="1:8" x14ac:dyDescent="0.25">
      <c r="B1" s="185" t="s">
        <v>387</v>
      </c>
      <c r="C1" s="185" t="s">
        <v>388</v>
      </c>
    </row>
    <row r="2" spans="1:8" x14ac:dyDescent="0.25">
      <c r="A2" s="147" t="s">
        <v>405</v>
      </c>
      <c r="B2" s="168">
        <f>SUM('Output NHB'!L3:L49)</f>
        <v>5.9299935513178212</v>
      </c>
      <c r="C2" s="168">
        <f>SUM('Output NHB'!O3:O49)</f>
        <v>5.9299935513178212</v>
      </c>
    </row>
    <row r="3" spans="1:8" x14ac:dyDescent="0.25">
      <c r="A3" s="147" t="s">
        <v>399</v>
      </c>
      <c r="B3" s="168">
        <f>MIN(G7:G11)</f>
        <v>5.9299935513178212</v>
      </c>
      <c r="C3" s="168">
        <f>MIN(H7:H11)</f>
        <v>5.9299935513178212</v>
      </c>
    </row>
    <row r="4" spans="1:8" x14ac:dyDescent="0.25">
      <c r="A4" s="147" t="s">
        <v>417</v>
      </c>
      <c r="B4" s="168">
        <f>'Output NHB'!K53</f>
        <v>5.9299935513178212</v>
      </c>
      <c r="C4" s="168">
        <f>'Output NHB'!N53</f>
        <v>5.9299935513178212</v>
      </c>
    </row>
    <row r="5" spans="1:8" x14ac:dyDescent="0.25">
      <c r="B5" s="165"/>
      <c r="C5" s="165"/>
    </row>
    <row r="6" spans="1:8" x14ac:dyDescent="0.25">
      <c r="A6" s="164" t="s">
        <v>397</v>
      </c>
      <c r="B6" s="164" t="s">
        <v>389</v>
      </c>
      <c r="C6" s="164" t="s">
        <v>395</v>
      </c>
      <c r="D6" s="166" t="s">
        <v>390</v>
      </c>
      <c r="E6" s="164" t="s">
        <v>391</v>
      </c>
      <c r="F6" s="164" t="s">
        <v>392</v>
      </c>
      <c r="G6" s="166" t="s">
        <v>387</v>
      </c>
      <c r="H6" s="164" t="s">
        <v>388</v>
      </c>
    </row>
    <row r="7" spans="1:8" x14ac:dyDescent="0.25">
      <c r="A7" s="4" t="s">
        <v>393</v>
      </c>
      <c r="B7" s="167">
        <f>'Model Inputs'!B58</f>
        <v>0</v>
      </c>
      <c r="C7" s="167">
        <f>'Model Inputs'!D58</f>
        <v>0</v>
      </c>
      <c r="D7" s="169">
        <v>2</v>
      </c>
      <c r="E7" s="167" t="str">
        <f t="shared" ref="E7:E11" si="0">IF(B7&lt;=D7,"Yes","No")</f>
        <v>Yes</v>
      </c>
      <c r="F7" s="167" t="str">
        <f t="shared" ref="F7:F11" si="1">IF(C7&lt;=D7,"Yes","No")</f>
        <v>Yes</v>
      </c>
      <c r="G7" s="168">
        <f>IF(E7="Yes",IF($B$2&gt;=Lookup!$I$9,Lookup!$I$8,IF($B$2&gt;=Lookup!$I$8,Lookup!$I$7,IF($B$2&gt;=Lookup!$I$7,Lookup!$I$6,IF($B$2&gt;=Lookup!$I$6,Lookup!$I$5,IF($B$2&gt;=Lookup!$I$5,Lookup!$I$4,IF($B$2&gt;=Lookup!$I$4,Lookup!$I$3,IF($B$2&gt;=Lookup!$I$3,Lookup!$I$3,$B$2))))))),$B$2)</f>
        <v>5.9299935513178212</v>
      </c>
      <c r="H7" s="168">
        <f>IF(F7="Yes",IF($C$2&gt;=Lookup!$I$9,Lookup!$I$8,IF($C$2&gt;=Lookup!$I$8,Lookup!$I$7,IF($C$2&gt;=Lookup!$I$7,Lookup!$I$6,IF($C$2&gt;=Lookup!$I$6,Lookup!$I$5,IF($C$2&gt;=Lookup!$I$5,Lookup!$I$4,IF($C$2&gt;=Lookup!$I$4,Lookup!$I$3,IF($C$2&gt;=Lookup!$I$3,Lookup!$I$3,$C$2))))))),$C$2)</f>
        <v>5.9299935513178212</v>
      </c>
    </row>
    <row r="8" spans="1:8" x14ac:dyDescent="0.25">
      <c r="A8" s="147" t="s">
        <v>218</v>
      </c>
      <c r="B8" s="167">
        <f>'Model Inputs'!B56</f>
        <v>0</v>
      </c>
      <c r="C8" s="167">
        <f>'Model Inputs'!D56</f>
        <v>0</v>
      </c>
      <c r="D8" s="167">
        <v>1</v>
      </c>
      <c r="E8" s="167" t="str">
        <f>IF(B8&lt;=D8,"Yes","No")</f>
        <v>Yes</v>
      </c>
      <c r="F8" s="167" t="str">
        <f t="shared" si="1"/>
        <v>Yes</v>
      </c>
      <c r="G8" s="168">
        <f>IF(E8="Yes",IF($B$2&gt;=Lookup!$I$9,Lookup!$I$8,IF($B$2&gt;=Lookup!$I$8,Lookup!$I$7,IF($B$2&gt;=Lookup!$I$7,Lookup!$I$6,IF($B$2&gt;=Lookup!$I$6,Lookup!$I$5,IF($B$2&gt;=Lookup!$I$5,Lookup!$I$4,IF($B$2&gt;=Lookup!$I$4,Lookup!$I$3,IF($B$2&gt;=Lookup!$I$3,Lookup!$I$3,$B$2))))))),$B$2)</f>
        <v>5.9299935513178212</v>
      </c>
      <c r="H8" s="168">
        <f>IF(F8="Yes",IF($C$2&gt;=Lookup!$I$9,Lookup!$I$8,IF($C$2&gt;=Lookup!$I$8,Lookup!$I$7,IF($C$2&gt;=Lookup!$I$7,Lookup!$I$6,IF($C$2&gt;=Lookup!$I$6,Lookup!$I$5,IF($C$2&gt;=Lookup!$I$5,Lookup!$I$4,IF($C$2&gt;=Lookup!$I$4,Lookup!$I$3,IF($C$2&gt;=Lookup!$I$3,Lookup!$I$3,$C$2))))))),$C$2)</f>
        <v>5.9299935513178212</v>
      </c>
    </row>
    <row r="9" spans="1:8" x14ac:dyDescent="0.25">
      <c r="A9" s="147" t="s">
        <v>225</v>
      </c>
      <c r="B9" s="167">
        <f>'Model Inputs'!B57</f>
        <v>0</v>
      </c>
      <c r="C9" s="167">
        <f>'Model Inputs'!D57</f>
        <v>0</v>
      </c>
      <c r="D9" s="167">
        <v>1</v>
      </c>
      <c r="E9" s="167" t="str">
        <f t="shared" si="0"/>
        <v>Yes</v>
      </c>
      <c r="F9" s="167" t="str">
        <f t="shared" si="1"/>
        <v>Yes</v>
      </c>
      <c r="G9" s="168">
        <f>IF(E9="Yes",IF($B$2&gt;=Lookup!$I$9,Lookup!$I$8,IF($B$2&gt;=Lookup!$I$8,Lookup!$I$7,IF($B$2&gt;=Lookup!$I$7,Lookup!$I$6,IF($B$2&gt;=Lookup!$I$6,Lookup!$I$5,IF($B$2&gt;=Lookup!$I$5,Lookup!$I$4,IF($B$2&gt;=Lookup!$I$4,Lookup!$I$3,IF($B$2&gt;=Lookup!$I$3,Lookup!$I$3,$B$2))))))),$B$2)</f>
        <v>5.9299935513178212</v>
      </c>
      <c r="H9" s="168">
        <f>IF(F9="Yes",IF($C$2&gt;=Lookup!$I$9,Lookup!$I$8,IF($C$2&gt;=Lookup!$I$8,Lookup!$I$7,IF($C$2&gt;=Lookup!$I$7,Lookup!$I$6,IF($C$2&gt;=Lookup!$I$6,Lookup!$I$5,IF($C$2&gt;=Lookup!$I$5,Lookup!$I$4,IF($C$2&gt;=Lookup!$I$4,Lookup!$I$3,IF($C$2&gt;=Lookup!$I$3,Lookup!$I$3,$C$2))))))),$C$2)</f>
        <v>5.9299935513178212</v>
      </c>
    </row>
    <row r="10" spans="1:8" x14ac:dyDescent="0.25">
      <c r="A10" s="147" t="s">
        <v>394</v>
      </c>
      <c r="B10" s="167">
        <f>'Model Inputs'!B70</f>
        <v>0</v>
      </c>
      <c r="C10" s="167">
        <f>'Model Inputs'!D70</f>
        <v>0</v>
      </c>
      <c r="D10" s="167">
        <v>1</v>
      </c>
      <c r="E10" s="167" t="str">
        <f t="shared" si="0"/>
        <v>Yes</v>
      </c>
      <c r="F10" s="167" t="str">
        <f t="shared" si="1"/>
        <v>Yes</v>
      </c>
      <c r="G10" s="168">
        <f>IF(E10="Yes",IF($B$2&gt;=Lookup!$I$9,Lookup!$I$8,IF($B$2&gt;=Lookup!$I$8,Lookup!$I$7,IF($B$2&gt;=Lookup!$I$7,Lookup!$I$6,IF($B$2&gt;=Lookup!$I$6,Lookup!$I$5,IF($B$2&gt;=Lookup!$I$5,Lookup!$I$4,IF($B$2&gt;=Lookup!$I$4,Lookup!$I$3,IF($B$2&gt;=Lookup!$I$3,Lookup!$I$3,$B$2))))))),$B$2)</f>
        <v>5.9299935513178212</v>
      </c>
      <c r="H10" s="168">
        <f>IF(F10="Yes",IF($C$2&gt;=Lookup!$I$9,Lookup!$I$8,IF($C$2&gt;=Lookup!$I$8,Lookup!$I$7,IF($C$2&gt;=Lookup!$I$7,Lookup!$I$6,IF($C$2&gt;=Lookup!$I$6,Lookup!$I$5,IF($C$2&gt;=Lookup!$I$5,Lookup!$I$4,IF($C$2&gt;=Lookup!$I$4,Lookup!$I$3,IF($C$2&gt;=Lookup!$I$3,Lookup!$I$3,$C$2))))))),$C$2)</f>
        <v>5.9299935513178212</v>
      </c>
    </row>
    <row r="11" spans="1:8" x14ac:dyDescent="0.25">
      <c r="A11" s="147" t="s">
        <v>361</v>
      </c>
      <c r="B11" s="167">
        <f>'Model Inputs'!B72</f>
        <v>0</v>
      </c>
      <c r="C11" s="167">
        <f>'Model Inputs'!D72</f>
        <v>0</v>
      </c>
      <c r="D11" s="167">
        <v>2</v>
      </c>
      <c r="E11" s="167" t="str">
        <f t="shared" si="0"/>
        <v>Yes</v>
      </c>
      <c r="F11" s="167" t="str">
        <f t="shared" si="1"/>
        <v>Yes</v>
      </c>
      <c r="G11" s="168">
        <f>IF(B11=1,Lookup!I2,IF(AND(B2&gt;=Lookup!I3,'Rating Cap'!B11=2),Lookup!I3,B2))</f>
        <v>5.9299935513178212</v>
      </c>
      <c r="H11" s="168">
        <f>IF(C11=1,Lookup!I2,IF(AND(C2&gt;=Lookup!I3,'Rating Cap'!C11=2),Lookup!I3,C2))</f>
        <v>5.9299935513178212</v>
      </c>
    </row>
  </sheetData>
  <conditionalFormatting sqref="E7:F11">
    <cfRule type="containsText" dxfId="0" priority="1" operator="containsText" text="Yes">
      <formula>NOT(ISERROR(SEARCH("Yes",E7)))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Financials</vt:lpstr>
      <vt:lpstr>Data Input Sheet</vt:lpstr>
      <vt:lpstr>Model Inputs</vt:lpstr>
      <vt:lpstr>Definitions</vt:lpstr>
      <vt:lpstr>Output NHB</vt:lpstr>
      <vt:lpstr>Sheet1 </vt:lpstr>
      <vt:lpstr>Lookup</vt:lpstr>
      <vt:lpstr>Rating Cap</vt:lpstr>
    </vt:vector>
  </TitlesOfParts>
  <Company>FitchRatings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Bhaskar Som</dc:creator>
  <cp:lastModifiedBy>Pravin Ghadge</cp:lastModifiedBy>
  <cp:lastPrinted>2015-08-24T11:35:29Z</cp:lastPrinted>
  <dcterms:created xsi:type="dcterms:W3CDTF">2014-04-07T05:37:57Z</dcterms:created>
  <dcterms:modified xsi:type="dcterms:W3CDTF">2024-11-24T13:49:49Z</dcterms:modified>
</cp:coreProperties>
</file>