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X562\Assignment2\"/>
    </mc:Choice>
  </mc:AlternateContent>
  <bookViews>
    <workbookView xWindow="0" yWindow="0" windowWidth="19200" windowHeight="6036"/>
  </bookViews>
  <sheets>
    <sheet name="YieldTables" sheetId="8" r:id="rId1"/>
    <sheet name="PermanentPlots" sheetId="5" r:id="rId2"/>
    <sheet name="Citations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2" i="8"/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" i="5"/>
  <c r="K73" i="8" l="1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7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3" i="8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N16" i="5"/>
  <c r="N15" i="5"/>
  <c r="N14" i="5"/>
  <c r="N13" i="5"/>
  <c r="N12" i="5"/>
  <c r="L12" i="5" s="1"/>
  <c r="N11" i="5"/>
  <c r="N10" i="5"/>
  <c r="N9" i="5"/>
  <c r="N8" i="5"/>
  <c r="N7" i="5"/>
  <c r="L7" i="5" s="1"/>
  <c r="N6" i="5"/>
  <c r="N5" i="5"/>
  <c r="N4" i="5"/>
  <c r="N3" i="5"/>
  <c r="L3" i="5" s="1"/>
  <c r="N2" i="5"/>
  <c r="K141" i="5"/>
  <c r="K140" i="5"/>
  <c r="K139" i="5"/>
  <c r="K138" i="5"/>
  <c r="K137" i="5"/>
  <c r="K136" i="5"/>
  <c r="N141" i="5"/>
  <c r="N140" i="5"/>
  <c r="N139" i="5"/>
  <c r="N138" i="5"/>
  <c r="N137" i="5"/>
  <c r="N136" i="5"/>
  <c r="K80" i="5"/>
  <c r="K79" i="5"/>
  <c r="L79" i="5" s="1"/>
  <c r="K73" i="5"/>
  <c r="K72" i="5"/>
  <c r="K71" i="5"/>
  <c r="K69" i="5"/>
  <c r="K68" i="5"/>
  <c r="K67" i="5"/>
  <c r="K65" i="5"/>
  <c r="K64" i="5"/>
  <c r="K59" i="5"/>
  <c r="K58" i="5"/>
  <c r="L4" i="5"/>
  <c r="L5" i="5"/>
  <c r="L6" i="5"/>
  <c r="L8" i="5"/>
  <c r="L9" i="5"/>
  <c r="L10" i="5"/>
  <c r="L11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" i="5"/>
  <c r="N81" i="5"/>
  <c r="N80" i="5"/>
  <c r="N79" i="5"/>
  <c r="N78" i="5"/>
  <c r="N76" i="5"/>
  <c r="N74" i="5"/>
  <c r="N73" i="5"/>
  <c r="N72" i="5"/>
  <c r="N70" i="5"/>
  <c r="N69" i="5"/>
  <c r="N68" i="5"/>
  <c r="N67" i="5"/>
  <c r="N66" i="5"/>
  <c r="N65" i="5"/>
  <c r="N61" i="5"/>
  <c r="N60" i="5"/>
  <c r="N59" i="5"/>
  <c r="N58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K116" i="5" l="1"/>
  <c r="K115" i="5"/>
  <c r="K114" i="5"/>
  <c r="K113" i="5"/>
  <c r="K112" i="5"/>
  <c r="K110" i="5"/>
  <c r="K109" i="5"/>
  <c r="K103" i="5"/>
  <c r="K101" i="5"/>
  <c r="K100" i="5"/>
  <c r="K90" i="5"/>
  <c r="K89" i="5"/>
  <c r="K88" i="5"/>
  <c r="K87" i="5"/>
  <c r="K86" i="5"/>
  <c r="K85" i="5"/>
  <c r="K84" i="5"/>
  <c r="K83" i="5"/>
  <c r="K82" i="5"/>
  <c r="N117" i="5"/>
  <c r="N116" i="5"/>
  <c r="N115" i="5"/>
  <c r="N114" i="5"/>
  <c r="N113" i="5"/>
  <c r="N112" i="5"/>
  <c r="N110" i="5"/>
  <c r="N109" i="5"/>
  <c r="N104" i="5"/>
  <c r="N103" i="5"/>
  <c r="N102" i="5"/>
  <c r="N101" i="5"/>
  <c r="N100" i="5"/>
  <c r="N91" i="5"/>
  <c r="N90" i="5"/>
  <c r="N89" i="5"/>
  <c r="N88" i="5"/>
  <c r="N87" i="5"/>
  <c r="N86" i="5"/>
  <c r="N85" i="5"/>
  <c r="N84" i="5"/>
  <c r="N83" i="5"/>
  <c r="N82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</calcChain>
</file>

<file path=xl/sharedStrings.xml><?xml version="1.0" encoding="utf-8"?>
<sst xmlns="http://schemas.openxmlformats.org/spreadsheetml/2006/main" count="1219" uniqueCount="49">
  <si>
    <t>Source</t>
  </si>
  <si>
    <t>Notes</t>
  </si>
  <si>
    <t>McArdle 1963</t>
  </si>
  <si>
    <t>Article</t>
  </si>
  <si>
    <t>Schumacher 1930</t>
  </si>
  <si>
    <t>Curtis et al. 1982</t>
  </si>
  <si>
    <t>Bennet</t>
  </si>
  <si>
    <t>SPS modeling</t>
  </si>
  <si>
    <t>Chambers 1983</t>
  </si>
  <si>
    <t>Curtis and Marshall 2002</t>
  </si>
  <si>
    <t>Stampede Creek, 3 control treatments in the stand</t>
  </si>
  <si>
    <t>Staebler 1954</t>
  </si>
  <si>
    <t>42 permament USFS plots observed for as long as 40 years, most are 1 acre.</t>
  </si>
  <si>
    <t xml:space="preserve">Williamson 1963 </t>
  </si>
  <si>
    <t>Plot</t>
  </si>
  <si>
    <t>siteclass</t>
  </si>
  <si>
    <t>age</t>
  </si>
  <si>
    <t>Location</t>
  </si>
  <si>
    <t>Stampede Creek</t>
  </si>
  <si>
    <t>2,052 sample plots in stands ranging from 20 to 160 years old, scribner boardfoot volume in 16' logs for trees with DBH &gt;=12"</t>
  </si>
  <si>
    <t>Schumacher_1930</t>
  </si>
  <si>
    <t>Chambers_1983</t>
  </si>
  <si>
    <t>McArdle_1961</t>
  </si>
  <si>
    <t>si50</t>
  </si>
  <si>
    <t>si100</t>
  </si>
  <si>
    <t>Mount Hood</t>
  </si>
  <si>
    <t>Olympic</t>
  </si>
  <si>
    <t>Pinchot</t>
  </si>
  <si>
    <t>Siuslaw</t>
  </si>
  <si>
    <t>Snoqualmie</t>
  </si>
  <si>
    <t>Willamette</t>
  </si>
  <si>
    <t>Wind River</t>
  </si>
  <si>
    <t>Williamson_1963</t>
  </si>
  <si>
    <t>Curtis_and_Marshall_2002</t>
  </si>
  <si>
    <t>Curtis_et_al_1982</t>
  </si>
  <si>
    <t>origin</t>
  </si>
  <si>
    <t>natural</t>
  </si>
  <si>
    <t>planted</t>
  </si>
  <si>
    <t>qmd</t>
  </si>
  <si>
    <t>ba</t>
  </si>
  <si>
    <t>tpa</t>
  </si>
  <si>
    <t>USFS Permanent Plots, Used TPA and BA for all trees &gt;1"</t>
  </si>
  <si>
    <t>159 sample plots in stands ranging from 25 to 144 yrs old (plus one 165 yr old), used Lorey Height and QMD</t>
  </si>
  <si>
    <t>386 sample plots in stands ranging from 10 to 100 years old; used Scribner 16' logs with DBH &gt;= 7", BA and TPA are for trees &gt;= 7" DBH, TPA for Even-Aged Second Growth Stand</t>
  </si>
  <si>
    <t>DFSIM Simulations based on plantations, few older than 40 years old, planted scenario was 400 TPA, used HT40 for top_ht</t>
  </si>
  <si>
    <t>ID</t>
  </si>
  <si>
    <t>bdft</t>
  </si>
  <si>
    <t>tcuft</t>
  </si>
  <si>
    <t>topht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</si>
</sst>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164" fontId="0" fillId="0" borderId="0" xfId="0" applyNumberForma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"/>
  <sheetViews>
    <sheetView tabSelected="1" workbookViewId="0">
      <pane ySplit="1" topLeftCell="A2" activePane="bottomLeft" state="frozen"/>
      <selection pane="bottomLeft" activeCell="J2" sqref="J2"/>
    </sheetView>
  </sheetViews>
  <sheetFormatPr defaultRowHeight="14.4" x14ac:dyDescent="0.3"/>
  <cols>
    <col min="1" max="1" width="16" bestFit="1" customWidth="1"/>
    <col min="2" max="3" width="16" customWidth="1"/>
    <col min="4" max="12" width="8.88671875" style="3"/>
    <col min="13" max="13" width="8.88671875" style="2"/>
  </cols>
  <sheetData>
    <row r="1" spans="1:13" x14ac:dyDescent="0.3">
      <c r="A1" t="s">
        <v>0</v>
      </c>
      <c r="B1" t="s">
        <v>35</v>
      </c>
      <c r="C1" t="s">
        <v>45</v>
      </c>
      <c r="D1" s="3" t="s">
        <v>24</v>
      </c>
      <c r="E1" s="3" t="s">
        <v>23</v>
      </c>
      <c r="F1" s="3" t="s">
        <v>15</v>
      </c>
      <c r="G1" s="3" t="s">
        <v>16</v>
      </c>
      <c r="H1" s="3" t="s">
        <v>47</v>
      </c>
      <c r="I1" s="3" t="s">
        <v>46</v>
      </c>
      <c r="J1" s="3" t="s">
        <v>48</v>
      </c>
      <c r="K1" s="3" t="s">
        <v>39</v>
      </c>
      <c r="L1" s="3" t="s">
        <v>40</v>
      </c>
      <c r="M1" s="2" t="s">
        <v>38</v>
      </c>
    </row>
    <row r="2" spans="1:13" x14ac:dyDescent="0.3">
      <c r="A2" t="s">
        <v>20</v>
      </c>
      <c r="C2" t="str">
        <f>IF(ISBLANK(B2),A2,A2&amp;"_"&amp;B2)</f>
        <v>Schumacher_1930</v>
      </c>
      <c r="E2" s="3">
        <v>60</v>
      </c>
      <c r="F2" s="3">
        <v>5</v>
      </c>
      <c r="G2" s="3">
        <v>30</v>
      </c>
      <c r="J2" s="3">
        <v>39</v>
      </c>
    </row>
    <row r="3" spans="1:13" x14ac:dyDescent="0.3">
      <c r="A3" t="s">
        <v>20</v>
      </c>
      <c r="C3" t="str">
        <f t="shared" ref="C3:C66" si="0">IF(ISBLANK(B3),A3,A3&amp;"_"&amp;B3)</f>
        <v>Schumacher_1930</v>
      </c>
      <c r="E3" s="3">
        <v>60</v>
      </c>
      <c r="F3" s="3">
        <v>5</v>
      </c>
      <c r="G3" s="3">
        <v>40</v>
      </c>
      <c r="H3" s="3">
        <v>2300</v>
      </c>
      <c r="J3" s="3">
        <v>50</v>
      </c>
      <c r="M3" s="2" t="str">
        <f>IF(NOT(OR(ISBLANK(L3),ISBLANK(K3))),SQRT((K3/L3)/0.005454154),"")</f>
        <v/>
      </c>
    </row>
    <row r="4" spans="1:13" x14ac:dyDescent="0.3">
      <c r="A4" t="s">
        <v>20</v>
      </c>
      <c r="C4" t="str">
        <f t="shared" si="0"/>
        <v>Schumacher_1930</v>
      </c>
      <c r="E4" s="3">
        <v>60</v>
      </c>
      <c r="F4" s="3">
        <v>5</v>
      </c>
      <c r="G4" s="3">
        <v>50</v>
      </c>
      <c r="H4" s="3">
        <v>3650</v>
      </c>
      <c r="J4" s="3">
        <v>60</v>
      </c>
      <c r="K4" s="3">
        <v>205</v>
      </c>
      <c r="L4" s="3">
        <v>1033</v>
      </c>
      <c r="M4" s="2">
        <f t="shared" ref="M4:M65" si="1">IF(NOT(OR(ISBLANK(L4),ISBLANK(K4))),SQRT((K4/L4)/0.005454154),"")</f>
        <v>6.032024150390523</v>
      </c>
    </row>
    <row r="5" spans="1:13" x14ac:dyDescent="0.3">
      <c r="A5" t="s">
        <v>20</v>
      </c>
      <c r="C5" t="str">
        <f t="shared" si="0"/>
        <v>Schumacher_1930</v>
      </c>
      <c r="E5" s="3">
        <v>60</v>
      </c>
      <c r="F5" s="3">
        <v>5</v>
      </c>
      <c r="G5" s="3">
        <v>60</v>
      </c>
      <c r="H5" s="3">
        <v>4800</v>
      </c>
      <c r="J5" s="3">
        <v>68</v>
      </c>
      <c r="K5" s="3">
        <v>214</v>
      </c>
      <c r="L5" s="3">
        <v>790</v>
      </c>
      <c r="M5" s="2">
        <f t="shared" si="1"/>
        <v>7.0474116966078162</v>
      </c>
    </row>
    <row r="6" spans="1:13" x14ac:dyDescent="0.3">
      <c r="A6" t="s">
        <v>20</v>
      </c>
      <c r="C6" t="str">
        <f t="shared" si="0"/>
        <v>Schumacher_1930</v>
      </c>
      <c r="E6" s="3">
        <v>60</v>
      </c>
      <c r="F6" s="3">
        <v>5</v>
      </c>
      <c r="G6" s="3">
        <v>70</v>
      </c>
      <c r="H6" s="3">
        <v>5700</v>
      </c>
      <c r="J6" s="3">
        <v>74</v>
      </c>
      <c r="K6" s="3">
        <v>222</v>
      </c>
      <c r="L6" s="3">
        <v>643</v>
      </c>
      <c r="M6" s="2">
        <f t="shared" si="1"/>
        <v>7.9562295118389681</v>
      </c>
    </row>
    <row r="7" spans="1:13" x14ac:dyDescent="0.3">
      <c r="A7" t="s">
        <v>20</v>
      </c>
      <c r="C7" t="str">
        <f t="shared" si="0"/>
        <v>Schumacher_1930</v>
      </c>
      <c r="E7" s="3">
        <v>60</v>
      </c>
      <c r="F7" s="3">
        <v>5</v>
      </c>
      <c r="G7" s="3">
        <v>80</v>
      </c>
      <c r="H7" s="3">
        <v>6400</v>
      </c>
      <c r="J7" s="3">
        <v>79</v>
      </c>
      <c r="K7" s="3">
        <v>228</v>
      </c>
      <c r="L7" s="3">
        <v>530</v>
      </c>
      <c r="M7" s="2">
        <f t="shared" si="1"/>
        <v>8.8810801720616741</v>
      </c>
    </row>
    <row r="8" spans="1:13" x14ac:dyDescent="0.3">
      <c r="A8" t="s">
        <v>20</v>
      </c>
      <c r="C8" t="str">
        <f t="shared" si="0"/>
        <v>Schumacher_1930</v>
      </c>
      <c r="E8" s="3">
        <v>60</v>
      </c>
      <c r="F8" s="3">
        <v>5</v>
      </c>
      <c r="G8" s="3">
        <v>90</v>
      </c>
      <c r="H8" s="3">
        <v>6950</v>
      </c>
      <c r="J8" s="3">
        <v>83</v>
      </c>
      <c r="K8" s="3">
        <v>233</v>
      </c>
      <c r="L8" s="3">
        <v>445</v>
      </c>
      <c r="M8" s="2">
        <f t="shared" si="1"/>
        <v>9.7979282973574762</v>
      </c>
    </row>
    <row r="9" spans="1:13" x14ac:dyDescent="0.3">
      <c r="A9" t="s">
        <v>20</v>
      </c>
      <c r="C9" t="str">
        <f t="shared" si="0"/>
        <v>Schumacher_1930</v>
      </c>
      <c r="E9" s="3">
        <v>60</v>
      </c>
      <c r="F9" s="3">
        <v>5</v>
      </c>
      <c r="G9" s="3">
        <v>100</v>
      </c>
      <c r="H9" s="3">
        <v>7400</v>
      </c>
      <c r="J9" s="3">
        <v>86</v>
      </c>
      <c r="K9" s="3">
        <v>238</v>
      </c>
      <c r="L9" s="3">
        <v>378</v>
      </c>
      <c r="M9" s="2">
        <f t="shared" si="1"/>
        <v>10.744318663226499</v>
      </c>
    </row>
    <row r="10" spans="1:13" x14ac:dyDescent="0.3">
      <c r="A10" t="s">
        <v>20</v>
      </c>
      <c r="C10" t="str">
        <f t="shared" si="0"/>
        <v>Schumacher_1930</v>
      </c>
      <c r="E10" s="3">
        <v>60</v>
      </c>
      <c r="F10" s="3">
        <v>5</v>
      </c>
      <c r="G10" s="3">
        <v>110</v>
      </c>
      <c r="H10" s="3">
        <v>7700</v>
      </c>
      <c r="J10" s="3">
        <v>89</v>
      </c>
      <c r="K10" s="3">
        <v>242</v>
      </c>
      <c r="L10" s="3">
        <v>324</v>
      </c>
      <c r="M10" s="2">
        <f t="shared" si="1"/>
        <v>11.702306797887358</v>
      </c>
    </row>
    <row r="11" spans="1:13" x14ac:dyDescent="0.3">
      <c r="A11" t="s">
        <v>20</v>
      </c>
      <c r="C11" t="str">
        <f t="shared" si="0"/>
        <v>Schumacher_1930</v>
      </c>
      <c r="E11" s="3">
        <v>60</v>
      </c>
      <c r="F11" s="3">
        <v>5</v>
      </c>
      <c r="G11" s="3">
        <v>120</v>
      </c>
      <c r="H11" s="3">
        <v>7950</v>
      </c>
      <c r="J11" s="3">
        <v>92</v>
      </c>
      <c r="K11" s="3">
        <v>245</v>
      </c>
      <c r="L11" s="3">
        <v>282</v>
      </c>
      <c r="M11" s="2">
        <f t="shared" si="1"/>
        <v>12.62102973419001</v>
      </c>
    </row>
    <row r="12" spans="1:13" x14ac:dyDescent="0.3">
      <c r="A12" t="s">
        <v>20</v>
      </c>
      <c r="C12" t="str">
        <f t="shared" si="0"/>
        <v>Schumacher_1930</v>
      </c>
      <c r="E12" s="3">
        <v>60</v>
      </c>
      <c r="F12" s="3">
        <v>5</v>
      </c>
      <c r="G12" s="3">
        <v>130</v>
      </c>
      <c r="H12" s="3">
        <v>8150</v>
      </c>
      <c r="J12" s="3">
        <v>96</v>
      </c>
      <c r="K12" s="3">
        <v>248</v>
      </c>
      <c r="L12" s="3">
        <v>254</v>
      </c>
      <c r="M12" s="2">
        <f t="shared" si="1"/>
        <v>13.379666364137199</v>
      </c>
    </row>
    <row r="13" spans="1:13" x14ac:dyDescent="0.3">
      <c r="A13" t="s">
        <v>20</v>
      </c>
      <c r="C13" t="str">
        <f t="shared" si="0"/>
        <v>Schumacher_1930</v>
      </c>
      <c r="E13" s="3">
        <v>60</v>
      </c>
      <c r="F13" s="3">
        <v>5</v>
      </c>
      <c r="G13" s="3">
        <v>140</v>
      </c>
      <c r="H13" s="3">
        <v>8350</v>
      </c>
      <c r="J13" s="3">
        <v>98</v>
      </c>
      <c r="K13" s="3">
        <v>250</v>
      </c>
      <c r="L13" s="3">
        <v>230</v>
      </c>
      <c r="M13" s="2">
        <f t="shared" si="1"/>
        <v>14.116999138406694</v>
      </c>
    </row>
    <row r="14" spans="1:13" x14ac:dyDescent="0.3">
      <c r="A14" t="s">
        <v>20</v>
      </c>
      <c r="C14" t="str">
        <f t="shared" si="0"/>
        <v>Schumacher_1930</v>
      </c>
      <c r="E14" s="3">
        <v>60</v>
      </c>
      <c r="F14" s="3">
        <v>5</v>
      </c>
      <c r="G14" s="3">
        <v>150</v>
      </c>
      <c r="H14" s="3">
        <v>8500</v>
      </c>
      <c r="J14" s="3">
        <v>99</v>
      </c>
      <c r="K14" s="3">
        <v>251</v>
      </c>
      <c r="L14" s="3">
        <v>212</v>
      </c>
      <c r="M14" s="2">
        <f t="shared" si="1"/>
        <v>14.733476412589178</v>
      </c>
    </row>
    <row r="15" spans="1:13" x14ac:dyDescent="0.3">
      <c r="A15" t="s">
        <v>20</v>
      </c>
      <c r="C15" t="str">
        <f t="shared" si="0"/>
        <v>Schumacher_1930</v>
      </c>
      <c r="E15" s="3">
        <v>60</v>
      </c>
      <c r="F15" s="3">
        <v>5</v>
      </c>
      <c r="G15" s="3">
        <v>160</v>
      </c>
      <c r="H15" s="3">
        <v>8600</v>
      </c>
      <c r="J15" s="3">
        <v>100</v>
      </c>
      <c r="K15" s="3">
        <v>252</v>
      </c>
      <c r="L15" s="3">
        <v>198</v>
      </c>
      <c r="M15" s="2">
        <f t="shared" si="1"/>
        <v>15.27580047299479</v>
      </c>
    </row>
    <row r="16" spans="1:13" x14ac:dyDescent="0.3">
      <c r="A16" t="s">
        <v>20</v>
      </c>
      <c r="C16" t="str">
        <f t="shared" si="0"/>
        <v>Schumacher_1930</v>
      </c>
      <c r="E16" s="3">
        <v>80</v>
      </c>
      <c r="F16" s="3">
        <v>4</v>
      </c>
      <c r="G16" s="3">
        <v>30</v>
      </c>
      <c r="H16" s="3">
        <v>3300</v>
      </c>
      <c r="J16" s="3">
        <v>54</v>
      </c>
      <c r="K16" s="3">
        <v>198</v>
      </c>
      <c r="L16" s="3">
        <v>1080</v>
      </c>
      <c r="M16" s="2">
        <f t="shared" si="1"/>
        <v>5.7977170887896419</v>
      </c>
    </row>
    <row r="17" spans="1:13" x14ac:dyDescent="0.3">
      <c r="A17" t="s">
        <v>20</v>
      </c>
      <c r="C17" t="str">
        <f t="shared" si="0"/>
        <v>Schumacher_1930</v>
      </c>
      <c r="E17" s="3">
        <v>80</v>
      </c>
      <c r="F17" s="3">
        <v>4</v>
      </c>
      <c r="G17" s="3">
        <v>40</v>
      </c>
      <c r="H17" s="3">
        <v>5000</v>
      </c>
      <c r="J17" s="3">
        <v>68</v>
      </c>
      <c r="K17" s="3">
        <v>223</v>
      </c>
      <c r="L17" s="3">
        <v>780</v>
      </c>
      <c r="M17" s="2">
        <f t="shared" si="1"/>
        <v>7.2400477761272262</v>
      </c>
    </row>
    <row r="18" spans="1:13" x14ac:dyDescent="0.3">
      <c r="A18" t="s">
        <v>20</v>
      </c>
      <c r="C18" t="str">
        <f t="shared" si="0"/>
        <v>Schumacher_1930</v>
      </c>
      <c r="E18" s="3">
        <v>80</v>
      </c>
      <c r="F18" s="3">
        <v>4</v>
      </c>
      <c r="G18" s="3">
        <v>50</v>
      </c>
      <c r="H18" s="3">
        <v>6400</v>
      </c>
      <c r="J18" s="3">
        <v>80</v>
      </c>
      <c r="K18" s="3">
        <v>237</v>
      </c>
      <c r="L18" s="3">
        <v>601</v>
      </c>
      <c r="M18" s="2">
        <f t="shared" si="1"/>
        <v>8.5030207498666126</v>
      </c>
    </row>
    <row r="19" spans="1:13" x14ac:dyDescent="0.3">
      <c r="A19" t="s">
        <v>20</v>
      </c>
      <c r="C19" t="str">
        <f t="shared" si="0"/>
        <v>Schumacher_1930</v>
      </c>
      <c r="E19" s="3">
        <v>80</v>
      </c>
      <c r="F19" s="3">
        <v>4</v>
      </c>
      <c r="G19" s="3">
        <v>60</v>
      </c>
      <c r="H19" s="3">
        <v>7600</v>
      </c>
      <c r="J19" s="3">
        <v>89</v>
      </c>
      <c r="K19" s="3">
        <v>249</v>
      </c>
      <c r="L19" s="3">
        <v>475</v>
      </c>
      <c r="M19" s="2">
        <f t="shared" si="1"/>
        <v>9.8036809825341624</v>
      </c>
    </row>
    <row r="20" spans="1:13" x14ac:dyDescent="0.3">
      <c r="A20" t="s">
        <v>20</v>
      </c>
      <c r="C20" t="str">
        <f t="shared" si="0"/>
        <v>Schumacher_1930</v>
      </c>
      <c r="E20" s="3">
        <v>80</v>
      </c>
      <c r="F20" s="3">
        <v>4</v>
      </c>
      <c r="G20" s="3">
        <v>70</v>
      </c>
      <c r="H20" s="3">
        <v>8550</v>
      </c>
      <c r="J20" s="3">
        <v>98</v>
      </c>
      <c r="K20" s="3">
        <v>260</v>
      </c>
      <c r="L20" s="3">
        <v>382</v>
      </c>
      <c r="M20" s="2">
        <f t="shared" si="1"/>
        <v>11.170980517971467</v>
      </c>
    </row>
    <row r="21" spans="1:13" x14ac:dyDescent="0.3">
      <c r="A21" t="s">
        <v>20</v>
      </c>
      <c r="C21" t="str">
        <f t="shared" si="0"/>
        <v>Schumacher_1930</v>
      </c>
      <c r="E21" s="3">
        <v>80</v>
      </c>
      <c r="F21" s="3">
        <v>4</v>
      </c>
      <c r="G21" s="3">
        <v>80</v>
      </c>
      <c r="H21" s="3">
        <v>9350</v>
      </c>
      <c r="J21" s="3">
        <v>104</v>
      </c>
      <c r="K21" s="3">
        <v>271</v>
      </c>
      <c r="L21" s="3">
        <v>313</v>
      </c>
      <c r="M21" s="2">
        <f t="shared" si="1"/>
        <v>12.599368511543215</v>
      </c>
    </row>
    <row r="22" spans="1:13" x14ac:dyDescent="0.3">
      <c r="A22" t="s">
        <v>20</v>
      </c>
      <c r="C22" t="str">
        <f t="shared" si="0"/>
        <v>Schumacher_1930</v>
      </c>
      <c r="E22" s="3">
        <v>80</v>
      </c>
      <c r="F22" s="3">
        <v>4</v>
      </c>
      <c r="G22" s="3">
        <v>90</v>
      </c>
      <c r="H22" s="3">
        <v>10000</v>
      </c>
      <c r="J22" s="3">
        <v>110</v>
      </c>
      <c r="K22" s="3">
        <v>280</v>
      </c>
      <c r="L22" s="3">
        <v>260</v>
      </c>
      <c r="M22" s="2">
        <f t="shared" si="1"/>
        <v>14.051692701204873</v>
      </c>
    </row>
    <row r="23" spans="1:13" x14ac:dyDescent="0.3">
      <c r="A23" t="s">
        <v>20</v>
      </c>
      <c r="C23" t="str">
        <f t="shared" si="0"/>
        <v>Schumacher_1930</v>
      </c>
      <c r="E23" s="3">
        <v>80</v>
      </c>
      <c r="F23" s="3">
        <v>4</v>
      </c>
      <c r="G23" s="3">
        <v>100</v>
      </c>
      <c r="H23" s="3">
        <v>10500</v>
      </c>
      <c r="J23" s="3">
        <v>114</v>
      </c>
      <c r="K23" s="3">
        <v>288</v>
      </c>
      <c r="L23" s="3">
        <v>225</v>
      </c>
      <c r="M23" s="2">
        <f t="shared" si="1"/>
        <v>15.319383444507087</v>
      </c>
    </row>
    <row r="24" spans="1:13" x14ac:dyDescent="0.3">
      <c r="A24" t="s">
        <v>20</v>
      </c>
      <c r="C24" t="str">
        <f t="shared" si="0"/>
        <v>Schumacher_1930</v>
      </c>
      <c r="E24" s="3">
        <v>80</v>
      </c>
      <c r="F24" s="3">
        <v>4</v>
      </c>
      <c r="G24" s="3">
        <v>110</v>
      </c>
      <c r="H24" s="3">
        <v>11000</v>
      </c>
      <c r="J24" s="3">
        <v>118</v>
      </c>
      <c r="K24" s="3">
        <v>294</v>
      </c>
      <c r="L24" s="3">
        <v>193</v>
      </c>
      <c r="M24" s="2">
        <f t="shared" si="1"/>
        <v>16.712111040960771</v>
      </c>
    </row>
    <row r="25" spans="1:13" x14ac:dyDescent="0.3">
      <c r="A25" t="s">
        <v>20</v>
      </c>
      <c r="C25" t="str">
        <f t="shared" si="0"/>
        <v>Schumacher_1930</v>
      </c>
      <c r="E25" s="3">
        <v>80</v>
      </c>
      <c r="F25" s="3">
        <v>4</v>
      </c>
      <c r="G25" s="3">
        <v>120</v>
      </c>
      <c r="H25" s="3">
        <v>11400</v>
      </c>
      <c r="J25" s="3">
        <v>122</v>
      </c>
      <c r="K25" s="3">
        <v>298</v>
      </c>
      <c r="L25" s="3">
        <v>170</v>
      </c>
      <c r="M25" s="2">
        <f t="shared" si="1"/>
        <v>17.927509991952107</v>
      </c>
    </row>
    <row r="26" spans="1:13" x14ac:dyDescent="0.3">
      <c r="A26" t="s">
        <v>20</v>
      </c>
      <c r="C26" t="str">
        <f t="shared" si="0"/>
        <v>Schumacher_1930</v>
      </c>
      <c r="E26" s="3">
        <v>80</v>
      </c>
      <c r="F26" s="3">
        <v>4</v>
      </c>
      <c r="G26" s="3">
        <v>130</v>
      </c>
      <c r="H26" s="3">
        <v>11700</v>
      </c>
      <c r="J26" s="3">
        <v>125</v>
      </c>
      <c r="K26" s="3">
        <v>302</v>
      </c>
      <c r="L26" s="3">
        <v>152</v>
      </c>
      <c r="M26" s="2">
        <f t="shared" si="1"/>
        <v>19.086134474120787</v>
      </c>
    </row>
    <row r="27" spans="1:13" x14ac:dyDescent="0.3">
      <c r="A27" t="s">
        <v>20</v>
      </c>
      <c r="C27" t="str">
        <f t="shared" si="0"/>
        <v>Schumacher_1930</v>
      </c>
      <c r="E27" s="3">
        <v>80</v>
      </c>
      <c r="F27" s="3">
        <v>4</v>
      </c>
      <c r="G27" s="3">
        <v>140</v>
      </c>
      <c r="H27" s="3">
        <v>12000</v>
      </c>
      <c r="J27" s="3">
        <v>128</v>
      </c>
      <c r="K27" s="3">
        <v>305</v>
      </c>
      <c r="L27" s="3">
        <v>138</v>
      </c>
      <c r="M27" s="2">
        <f t="shared" si="1"/>
        <v>20.13013457903374</v>
      </c>
    </row>
    <row r="28" spans="1:13" x14ac:dyDescent="0.3">
      <c r="A28" t="s">
        <v>20</v>
      </c>
      <c r="C28" t="str">
        <f t="shared" si="0"/>
        <v>Schumacher_1930</v>
      </c>
      <c r="E28" s="3">
        <v>80</v>
      </c>
      <c r="F28" s="3">
        <v>4</v>
      </c>
      <c r="G28" s="3">
        <v>150</v>
      </c>
      <c r="H28" s="3">
        <v>12300</v>
      </c>
      <c r="J28" s="3">
        <v>130</v>
      </c>
      <c r="K28" s="3">
        <v>308</v>
      </c>
      <c r="L28" s="3">
        <v>124</v>
      </c>
      <c r="M28" s="2">
        <f t="shared" si="1"/>
        <v>21.340314601098992</v>
      </c>
    </row>
    <row r="29" spans="1:13" x14ac:dyDescent="0.3">
      <c r="A29" t="s">
        <v>20</v>
      </c>
      <c r="C29" t="str">
        <f t="shared" si="0"/>
        <v>Schumacher_1930</v>
      </c>
      <c r="E29" s="3">
        <v>80</v>
      </c>
      <c r="F29" s="3">
        <v>4</v>
      </c>
      <c r="G29" s="3">
        <v>160</v>
      </c>
      <c r="H29" s="3">
        <v>12500</v>
      </c>
      <c r="J29" s="3">
        <v>132</v>
      </c>
      <c r="K29" s="3">
        <v>309</v>
      </c>
      <c r="L29" s="3">
        <v>113</v>
      </c>
      <c r="M29" s="2">
        <f t="shared" si="1"/>
        <v>22.391145902105773</v>
      </c>
    </row>
    <row r="30" spans="1:13" x14ac:dyDescent="0.3">
      <c r="A30" t="s">
        <v>20</v>
      </c>
      <c r="C30" t="str">
        <f t="shared" si="0"/>
        <v>Schumacher_1930</v>
      </c>
      <c r="E30" s="3">
        <v>100</v>
      </c>
      <c r="F30" s="3">
        <v>3</v>
      </c>
      <c r="G30" s="3">
        <v>30</v>
      </c>
      <c r="H30" s="3">
        <v>4900</v>
      </c>
      <c r="J30" s="3">
        <v>67</v>
      </c>
      <c r="K30" s="3">
        <v>217</v>
      </c>
      <c r="L30" s="3">
        <v>672</v>
      </c>
      <c r="M30" s="2">
        <f t="shared" si="1"/>
        <v>7.6945199902376897</v>
      </c>
    </row>
    <row r="31" spans="1:13" x14ac:dyDescent="0.3">
      <c r="A31" t="s">
        <v>20</v>
      </c>
      <c r="C31" t="str">
        <f t="shared" si="0"/>
        <v>Schumacher_1930</v>
      </c>
      <c r="E31" s="3">
        <v>100</v>
      </c>
      <c r="F31" s="3">
        <v>3</v>
      </c>
      <c r="G31" s="3">
        <v>40</v>
      </c>
      <c r="H31" s="3">
        <v>7200</v>
      </c>
      <c r="J31" s="3">
        <v>85</v>
      </c>
      <c r="K31" s="3">
        <v>243</v>
      </c>
      <c r="L31" s="3">
        <v>497</v>
      </c>
      <c r="M31" s="2">
        <f t="shared" si="1"/>
        <v>9.4680652950604216</v>
      </c>
    </row>
    <row r="32" spans="1:13" x14ac:dyDescent="0.3">
      <c r="A32" t="s">
        <v>20</v>
      </c>
      <c r="C32" t="str">
        <f t="shared" si="0"/>
        <v>Schumacher_1930</v>
      </c>
      <c r="E32" s="3">
        <v>100</v>
      </c>
      <c r="F32" s="3">
        <v>3</v>
      </c>
      <c r="G32" s="3">
        <v>50</v>
      </c>
      <c r="H32" s="3">
        <v>9000</v>
      </c>
      <c r="J32" s="3">
        <v>100</v>
      </c>
      <c r="K32" s="3">
        <v>264</v>
      </c>
      <c r="L32" s="3">
        <v>386</v>
      </c>
      <c r="M32" s="2">
        <f t="shared" si="1"/>
        <v>11.198107000920219</v>
      </c>
    </row>
    <row r="33" spans="1:13" x14ac:dyDescent="0.3">
      <c r="A33" t="s">
        <v>20</v>
      </c>
      <c r="C33" t="str">
        <f t="shared" si="0"/>
        <v>Schumacher_1930</v>
      </c>
      <c r="E33" s="3">
        <v>100</v>
      </c>
      <c r="F33" s="3">
        <v>3</v>
      </c>
      <c r="G33" s="3">
        <v>60</v>
      </c>
      <c r="H33" s="3">
        <v>10500</v>
      </c>
      <c r="J33" s="3">
        <v>112</v>
      </c>
      <c r="K33" s="3">
        <v>281</v>
      </c>
      <c r="L33" s="3">
        <v>302</v>
      </c>
      <c r="M33" s="2">
        <f t="shared" si="1"/>
        <v>13.061287538262331</v>
      </c>
    </row>
    <row r="34" spans="1:13" x14ac:dyDescent="0.3">
      <c r="A34" t="s">
        <v>20</v>
      </c>
      <c r="C34" t="str">
        <f t="shared" si="0"/>
        <v>Schumacher_1930</v>
      </c>
      <c r="E34" s="3">
        <v>100</v>
      </c>
      <c r="F34" s="3">
        <v>3</v>
      </c>
      <c r="G34" s="3">
        <v>70</v>
      </c>
      <c r="H34" s="3">
        <v>11750</v>
      </c>
      <c r="J34" s="3">
        <v>122</v>
      </c>
      <c r="K34" s="3">
        <v>295</v>
      </c>
      <c r="L34" s="3">
        <v>241</v>
      </c>
      <c r="M34" s="2">
        <f t="shared" si="1"/>
        <v>14.98093047767806</v>
      </c>
    </row>
    <row r="35" spans="1:13" x14ac:dyDescent="0.3">
      <c r="A35" t="s">
        <v>20</v>
      </c>
      <c r="C35" t="str">
        <f t="shared" si="0"/>
        <v>Schumacher_1930</v>
      </c>
      <c r="E35" s="3">
        <v>100</v>
      </c>
      <c r="F35" s="3">
        <v>3</v>
      </c>
      <c r="G35" s="3">
        <v>80</v>
      </c>
      <c r="H35" s="3">
        <v>12750</v>
      </c>
      <c r="J35" s="3">
        <v>131</v>
      </c>
      <c r="K35" s="3">
        <v>305</v>
      </c>
      <c r="L35" s="3">
        <v>200</v>
      </c>
      <c r="M35" s="2">
        <f t="shared" si="1"/>
        <v>16.721345625795394</v>
      </c>
    </row>
    <row r="36" spans="1:13" x14ac:dyDescent="0.3">
      <c r="A36" t="s">
        <v>20</v>
      </c>
      <c r="C36" t="str">
        <f t="shared" si="0"/>
        <v>Schumacher_1930</v>
      </c>
      <c r="E36" s="3">
        <v>100</v>
      </c>
      <c r="F36" s="3">
        <v>3</v>
      </c>
      <c r="G36" s="3">
        <v>90</v>
      </c>
      <c r="H36" s="3">
        <v>13550</v>
      </c>
      <c r="J36" s="3">
        <v>138</v>
      </c>
      <c r="K36" s="3">
        <v>313</v>
      </c>
      <c r="L36" s="3">
        <v>168</v>
      </c>
      <c r="M36" s="2">
        <f t="shared" si="1"/>
        <v>18.482206990370035</v>
      </c>
    </row>
    <row r="37" spans="1:13" x14ac:dyDescent="0.3">
      <c r="A37" t="s">
        <v>20</v>
      </c>
      <c r="C37" t="str">
        <f t="shared" si="0"/>
        <v>Schumacher_1930</v>
      </c>
      <c r="E37" s="3">
        <v>100</v>
      </c>
      <c r="F37" s="3">
        <v>3</v>
      </c>
      <c r="G37" s="3">
        <v>100</v>
      </c>
      <c r="H37" s="3">
        <v>14300</v>
      </c>
      <c r="J37" s="3">
        <v>146</v>
      </c>
      <c r="K37" s="3">
        <v>318</v>
      </c>
      <c r="L37" s="3">
        <v>143</v>
      </c>
      <c r="M37" s="2">
        <f t="shared" si="1"/>
        <v>20.192116494072824</v>
      </c>
    </row>
    <row r="38" spans="1:13" x14ac:dyDescent="0.3">
      <c r="A38" t="s">
        <v>20</v>
      </c>
      <c r="C38" t="str">
        <f t="shared" si="0"/>
        <v>Schumacher_1930</v>
      </c>
      <c r="E38" s="3">
        <v>100</v>
      </c>
      <c r="F38" s="3">
        <v>3</v>
      </c>
      <c r="G38" s="3">
        <v>110</v>
      </c>
      <c r="H38" s="3">
        <v>14900</v>
      </c>
      <c r="J38" s="3">
        <v>152</v>
      </c>
      <c r="K38" s="3">
        <v>322</v>
      </c>
      <c r="L38" s="3">
        <v>122</v>
      </c>
      <c r="M38" s="2">
        <f t="shared" si="1"/>
        <v>21.998056967653408</v>
      </c>
    </row>
    <row r="39" spans="1:13" x14ac:dyDescent="0.3">
      <c r="A39" t="s">
        <v>20</v>
      </c>
      <c r="C39" t="str">
        <f t="shared" si="0"/>
        <v>Schumacher_1930</v>
      </c>
      <c r="E39" s="3">
        <v>100</v>
      </c>
      <c r="F39" s="3">
        <v>3</v>
      </c>
      <c r="G39" s="3">
        <v>120</v>
      </c>
      <c r="H39" s="3">
        <v>15400</v>
      </c>
      <c r="J39" s="3">
        <v>156</v>
      </c>
      <c r="K39" s="3">
        <v>326</v>
      </c>
      <c r="L39" s="3">
        <v>107</v>
      </c>
      <c r="M39" s="2">
        <f t="shared" si="1"/>
        <v>23.634869738595167</v>
      </c>
    </row>
    <row r="40" spans="1:13" x14ac:dyDescent="0.3">
      <c r="A40" t="s">
        <v>20</v>
      </c>
      <c r="C40" t="str">
        <f t="shared" si="0"/>
        <v>Schumacher_1930</v>
      </c>
      <c r="E40" s="3">
        <v>100</v>
      </c>
      <c r="F40" s="3">
        <v>3</v>
      </c>
      <c r="G40" s="3">
        <v>130</v>
      </c>
      <c r="H40" s="3">
        <v>15950</v>
      </c>
      <c r="J40" s="3">
        <v>159</v>
      </c>
      <c r="K40" s="3">
        <v>328</v>
      </c>
      <c r="L40" s="3">
        <v>95</v>
      </c>
      <c r="M40" s="2">
        <f t="shared" si="1"/>
        <v>25.160045437988938</v>
      </c>
    </row>
    <row r="41" spans="1:13" x14ac:dyDescent="0.3">
      <c r="A41" t="s">
        <v>20</v>
      </c>
      <c r="C41" t="str">
        <f t="shared" si="0"/>
        <v>Schumacher_1930</v>
      </c>
      <c r="E41" s="3">
        <v>100</v>
      </c>
      <c r="F41" s="3">
        <v>3</v>
      </c>
      <c r="G41" s="3">
        <v>140</v>
      </c>
      <c r="H41" s="3">
        <v>16400</v>
      </c>
      <c r="J41" s="3">
        <v>162</v>
      </c>
      <c r="K41" s="3">
        <v>330</v>
      </c>
      <c r="L41" s="3">
        <v>87</v>
      </c>
      <c r="M41" s="2">
        <f t="shared" si="1"/>
        <v>26.371427893412417</v>
      </c>
    </row>
    <row r="42" spans="1:13" x14ac:dyDescent="0.3">
      <c r="A42" t="s">
        <v>20</v>
      </c>
      <c r="C42" t="str">
        <f t="shared" si="0"/>
        <v>Schumacher_1930</v>
      </c>
      <c r="E42" s="3">
        <v>100</v>
      </c>
      <c r="F42" s="3">
        <v>3</v>
      </c>
      <c r="G42" s="3">
        <v>150</v>
      </c>
      <c r="H42" s="3">
        <v>16800</v>
      </c>
      <c r="J42" s="3">
        <v>164</v>
      </c>
      <c r="K42" s="3">
        <v>331</v>
      </c>
      <c r="L42" s="3">
        <v>79</v>
      </c>
      <c r="M42" s="2">
        <f t="shared" si="1"/>
        <v>27.716395706653916</v>
      </c>
    </row>
    <row r="43" spans="1:13" x14ac:dyDescent="0.3">
      <c r="A43" t="s">
        <v>20</v>
      </c>
      <c r="C43" t="str">
        <f t="shared" si="0"/>
        <v>Schumacher_1930</v>
      </c>
      <c r="E43" s="3">
        <v>100</v>
      </c>
      <c r="F43" s="3">
        <v>3</v>
      </c>
      <c r="G43" s="3">
        <v>160</v>
      </c>
      <c r="H43" s="3">
        <v>17200</v>
      </c>
      <c r="J43" s="3">
        <v>165</v>
      </c>
      <c r="K43" s="3">
        <v>332</v>
      </c>
      <c r="L43" s="3">
        <v>75</v>
      </c>
      <c r="M43" s="2">
        <f t="shared" si="1"/>
        <v>28.488836451718637</v>
      </c>
    </row>
    <row r="44" spans="1:13" x14ac:dyDescent="0.3">
      <c r="A44" t="s">
        <v>20</v>
      </c>
      <c r="C44" t="str">
        <f t="shared" si="0"/>
        <v>Schumacher_1930</v>
      </c>
      <c r="E44" s="3">
        <v>120</v>
      </c>
      <c r="F44" s="3">
        <v>2</v>
      </c>
      <c r="G44" s="3">
        <v>30</v>
      </c>
      <c r="H44" s="3">
        <v>6500</v>
      </c>
      <c r="J44" s="3">
        <v>81</v>
      </c>
      <c r="K44" s="3">
        <v>230</v>
      </c>
      <c r="L44" s="3">
        <v>485</v>
      </c>
      <c r="M44" s="2">
        <f t="shared" si="1"/>
        <v>9.324581530089171</v>
      </c>
    </row>
    <row r="45" spans="1:13" x14ac:dyDescent="0.3">
      <c r="A45" t="s">
        <v>20</v>
      </c>
      <c r="C45" t="str">
        <f t="shared" si="0"/>
        <v>Schumacher_1930</v>
      </c>
      <c r="E45" s="3">
        <v>120</v>
      </c>
      <c r="F45" s="3">
        <v>2</v>
      </c>
      <c r="G45" s="3">
        <v>40</v>
      </c>
      <c r="H45" s="3">
        <v>9350</v>
      </c>
      <c r="J45" s="3">
        <v>102</v>
      </c>
      <c r="K45" s="3">
        <v>267</v>
      </c>
      <c r="L45" s="3">
        <v>364</v>
      </c>
      <c r="M45" s="2">
        <f t="shared" si="1"/>
        <v>11.596882068473056</v>
      </c>
    </row>
    <row r="46" spans="1:13" x14ac:dyDescent="0.3">
      <c r="A46" t="s">
        <v>20</v>
      </c>
      <c r="C46" t="str">
        <f t="shared" si="0"/>
        <v>Schumacher_1930</v>
      </c>
      <c r="E46" s="3">
        <v>120</v>
      </c>
      <c r="F46" s="3">
        <v>2</v>
      </c>
      <c r="G46" s="3">
        <v>50</v>
      </c>
      <c r="H46" s="3">
        <v>11700</v>
      </c>
      <c r="J46" s="3">
        <v>120</v>
      </c>
      <c r="K46" s="3">
        <v>290</v>
      </c>
      <c r="L46" s="3">
        <v>278</v>
      </c>
      <c r="M46" s="2">
        <f t="shared" si="1"/>
        <v>13.829704571791593</v>
      </c>
    </row>
    <row r="47" spans="1:13" x14ac:dyDescent="0.3">
      <c r="A47" t="s">
        <v>20</v>
      </c>
      <c r="C47" t="str">
        <f t="shared" si="0"/>
        <v>Schumacher_1930</v>
      </c>
      <c r="E47" s="3">
        <v>120</v>
      </c>
      <c r="F47" s="3">
        <v>2</v>
      </c>
      <c r="G47" s="3">
        <v>60</v>
      </c>
      <c r="H47" s="3">
        <v>13200</v>
      </c>
      <c r="J47" s="3">
        <v>135</v>
      </c>
      <c r="K47" s="3">
        <v>305</v>
      </c>
      <c r="L47" s="3">
        <v>220</v>
      </c>
      <c r="M47" s="2">
        <f t="shared" si="1"/>
        <v>15.943177496041338</v>
      </c>
    </row>
    <row r="48" spans="1:13" x14ac:dyDescent="0.3">
      <c r="A48" t="s">
        <v>20</v>
      </c>
      <c r="C48" t="str">
        <f t="shared" si="0"/>
        <v>Schumacher_1930</v>
      </c>
      <c r="E48" s="3">
        <v>120</v>
      </c>
      <c r="F48" s="3">
        <v>2</v>
      </c>
      <c r="G48" s="3">
        <v>70</v>
      </c>
      <c r="H48" s="3">
        <v>14500</v>
      </c>
      <c r="J48" s="3">
        <v>147</v>
      </c>
      <c r="K48" s="3">
        <v>316</v>
      </c>
      <c r="L48" s="3">
        <v>176</v>
      </c>
      <c r="M48" s="2">
        <f t="shared" si="1"/>
        <v>18.143601945495572</v>
      </c>
    </row>
    <row r="49" spans="1:13" x14ac:dyDescent="0.3">
      <c r="A49" t="s">
        <v>20</v>
      </c>
      <c r="C49" t="str">
        <f t="shared" si="0"/>
        <v>Schumacher_1930</v>
      </c>
      <c r="E49" s="3">
        <v>120</v>
      </c>
      <c r="F49" s="3">
        <v>2</v>
      </c>
      <c r="G49" s="3">
        <v>80</v>
      </c>
      <c r="H49" s="3">
        <v>15500</v>
      </c>
      <c r="J49" s="3">
        <v>158</v>
      </c>
      <c r="K49" s="3">
        <v>323</v>
      </c>
      <c r="L49" s="3">
        <v>148</v>
      </c>
      <c r="M49" s="2">
        <f t="shared" si="1"/>
        <v>20.003532923511806</v>
      </c>
    </row>
    <row r="50" spans="1:13" x14ac:dyDescent="0.3">
      <c r="A50" t="s">
        <v>20</v>
      </c>
      <c r="C50" t="str">
        <f t="shared" si="0"/>
        <v>Schumacher_1930</v>
      </c>
      <c r="E50" s="3">
        <v>120</v>
      </c>
      <c r="F50" s="3">
        <v>2</v>
      </c>
      <c r="G50" s="3">
        <v>90</v>
      </c>
      <c r="H50" s="3">
        <v>16400</v>
      </c>
      <c r="J50" s="3">
        <v>166</v>
      </c>
      <c r="K50" s="3">
        <v>329</v>
      </c>
      <c r="L50" s="3">
        <v>125</v>
      </c>
      <c r="M50" s="2">
        <f t="shared" si="1"/>
        <v>21.967429654551452</v>
      </c>
    </row>
    <row r="51" spans="1:13" x14ac:dyDescent="0.3">
      <c r="A51" t="s">
        <v>20</v>
      </c>
      <c r="C51" t="str">
        <f t="shared" si="0"/>
        <v>Schumacher_1930</v>
      </c>
      <c r="E51" s="3">
        <v>120</v>
      </c>
      <c r="F51" s="3">
        <v>2</v>
      </c>
      <c r="G51" s="3">
        <v>100</v>
      </c>
      <c r="H51" s="3">
        <v>17200</v>
      </c>
      <c r="J51" s="3">
        <v>173</v>
      </c>
      <c r="K51" s="3">
        <v>333</v>
      </c>
      <c r="L51" s="3">
        <v>104</v>
      </c>
      <c r="M51" s="2">
        <f t="shared" si="1"/>
        <v>24.229349190729931</v>
      </c>
    </row>
    <row r="52" spans="1:13" x14ac:dyDescent="0.3">
      <c r="A52" t="s">
        <v>20</v>
      </c>
      <c r="C52" t="str">
        <f t="shared" si="0"/>
        <v>Schumacher_1930</v>
      </c>
      <c r="E52" s="3">
        <v>120</v>
      </c>
      <c r="F52" s="3">
        <v>2</v>
      </c>
      <c r="G52" s="3">
        <v>110</v>
      </c>
      <c r="H52" s="3">
        <v>17950</v>
      </c>
      <c r="J52" s="3">
        <v>179</v>
      </c>
      <c r="K52" s="3">
        <v>336</v>
      </c>
      <c r="L52" s="3">
        <v>91</v>
      </c>
      <c r="M52" s="2">
        <f t="shared" si="1"/>
        <v>26.018679077205462</v>
      </c>
    </row>
    <row r="53" spans="1:13" x14ac:dyDescent="0.3">
      <c r="A53" t="s">
        <v>20</v>
      </c>
      <c r="C53" t="str">
        <f t="shared" si="0"/>
        <v>Schumacher_1930</v>
      </c>
      <c r="E53" s="3">
        <v>120</v>
      </c>
      <c r="F53" s="3">
        <v>2</v>
      </c>
      <c r="G53" s="3">
        <v>120</v>
      </c>
      <c r="H53" s="3">
        <v>18600</v>
      </c>
      <c r="J53" s="3">
        <v>185</v>
      </c>
      <c r="K53" s="3">
        <v>338</v>
      </c>
      <c r="L53" s="3">
        <v>80</v>
      </c>
      <c r="M53" s="2">
        <f t="shared" si="1"/>
        <v>27.832335988683461</v>
      </c>
    </row>
    <row r="54" spans="1:13" x14ac:dyDescent="0.3">
      <c r="A54" t="s">
        <v>20</v>
      </c>
      <c r="C54" t="str">
        <f t="shared" si="0"/>
        <v>Schumacher_1930</v>
      </c>
      <c r="E54" s="3">
        <v>120</v>
      </c>
      <c r="F54" s="3">
        <v>2</v>
      </c>
      <c r="G54" s="3">
        <v>130</v>
      </c>
      <c r="H54" s="3">
        <v>19200</v>
      </c>
      <c r="J54" s="3">
        <v>189</v>
      </c>
      <c r="K54" s="3">
        <v>340</v>
      </c>
      <c r="L54" s="3">
        <v>70</v>
      </c>
      <c r="M54" s="2">
        <f t="shared" si="1"/>
        <v>29.84191853032933</v>
      </c>
    </row>
    <row r="55" spans="1:13" x14ac:dyDescent="0.3">
      <c r="A55" t="s">
        <v>20</v>
      </c>
      <c r="C55" t="str">
        <f t="shared" si="0"/>
        <v>Schumacher_1930</v>
      </c>
      <c r="E55" s="3">
        <v>120</v>
      </c>
      <c r="F55" s="3">
        <v>2</v>
      </c>
      <c r="G55" s="3">
        <v>140</v>
      </c>
      <c r="H55" s="3">
        <v>19800</v>
      </c>
      <c r="J55" s="3">
        <v>193</v>
      </c>
      <c r="K55" s="3">
        <v>341</v>
      </c>
      <c r="L55" s="3">
        <v>62</v>
      </c>
      <c r="M55" s="2">
        <f t="shared" si="1"/>
        <v>31.755404315632688</v>
      </c>
    </row>
    <row r="56" spans="1:13" x14ac:dyDescent="0.3">
      <c r="A56" t="s">
        <v>20</v>
      </c>
      <c r="C56" t="str">
        <f t="shared" si="0"/>
        <v>Schumacher_1930</v>
      </c>
      <c r="E56" s="3">
        <v>120</v>
      </c>
      <c r="F56" s="3">
        <v>2</v>
      </c>
      <c r="G56" s="3">
        <v>150</v>
      </c>
      <c r="H56" s="3">
        <v>20300</v>
      </c>
      <c r="J56" s="3">
        <v>196</v>
      </c>
      <c r="K56" s="3">
        <v>342</v>
      </c>
      <c r="L56" s="3">
        <v>58</v>
      </c>
      <c r="M56" s="2">
        <f t="shared" si="1"/>
        <v>32.880268711922326</v>
      </c>
    </row>
    <row r="57" spans="1:13" x14ac:dyDescent="0.3">
      <c r="A57" t="s">
        <v>20</v>
      </c>
      <c r="C57" t="str">
        <f t="shared" si="0"/>
        <v>Schumacher_1930</v>
      </c>
      <c r="E57" s="3">
        <v>120</v>
      </c>
      <c r="F57" s="3">
        <v>2</v>
      </c>
      <c r="G57" s="3">
        <v>160</v>
      </c>
      <c r="H57" s="3">
        <v>20800</v>
      </c>
      <c r="J57" s="3">
        <v>198</v>
      </c>
      <c r="K57" s="3">
        <v>343</v>
      </c>
      <c r="L57" s="3">
        <v>54</v>
      </c>
      <c r="M57" s="2">
        <f t="shared" si="1"/>
        <v>34.126086086218706</v>
      </c>
    </row>
    <row r="58" spans="1:13" x14ac:dyDescent="0.3">
      <c r="A58" t="s">
        <v>20</v>
      </c>
      <c r="C58" t="str">
        <f t="shared" si="0"/>
        <v>Schumacher_1930</v>
      </c>
      <c r="E58" s="3">
        <v>140</v>
      </c>
      <c r="F58" s="3">
        <v>1</v>
      </c>
      <c r="G58" s="3">
        <v>30</v>
      </c>
      <c r="H58" s="3">
        <v>7700</v>
      </c>
      <c r="J58" s="3">
        <v>95</v>
      </c>
      <c r="K58" s="3">
        <v>243</v>
      </c>
      <c r="L58" s="3">
        <v>394</v>
      </c>
      <c r="M58" s="2">
        <f t="shared" si="1"/>
        <v>10.6338695358632</v>
      </c>
    </row>
    <row r="59" spans="1:13" x14ac:dyDescent="0.3">
      <c r="A59" t="s">
        <v>20</v>
      </c>
      <c r="C59" t="str">
        <f t="shared" si="0"/>
        <v>Schumacher_1930</v>
      </c>
      <c r="E59" s="3">
        <v>140</v>
      </c>
      <c r="F59" s="3">
        <v>1</v>
      </c>
      <c r="G59" s="3">
        <v>40</v>
      </c>
      <c r="H59" s="3">
        <v>10900</v>
      </c>
      <c r="J59" s="3">
        <v>120</v>
      </c>
      <c r="K59" s="3">
        <v>285</v>
      </c>
      <c r="L59" s="3">
        <v>297</v>
      </c>
      <c r="M59" s="2">
        <f t="shared" si="1"/>
        <v>13.264183067545975</v>
      </c>
    </row>
    <row r="60" spans="1:13" x14ac:dyDescent="0.3">
      <c r="A60" t="s">
        <v>20</v>
      </c>
      <c r="C60" t="str">
        <f t="shared" si="0"/>
        <v>Schumacher_1930</v>
      </c>
      <c r="E60" s="3">
        <v>140</v>
      </c>
      <c r="F60" s="3">
        <v>1</v>
      </c>
      <c r="G60" s="3">
        <v>50</v>
      </c>
      <c r="H60" s="3">
        <v>13100</v>
      </c>
      <c r="J60" s="3">
        <v>140</v>
      </c>
      <c r="K60" s="3">
        <v>305</v>
      </c>
      <c r="L60" s="3">
        <v>230</v>
      </c>
      <c r="M60" s="2">
        <f t="shared" si="1"/>
        <v>15.592735196302344</v>
      </c>
    </row>
    <row r="61" spans="1:13" x14ac:dyDescent="0.3">
      <c r="A61" t="s">
        <v>20</v>
      </c>
      <c r="C61" t="str">
        <f t="shared" si="0"/>
        <v>Schumacher_1930</v>
      </c>
      <c r="E61" s="3">
        <v>140</v>
      </c>
      <c r="F61" s="3">
        <v>1</v>
      </c>
      <c r="G61" s="3">
        <v>60</v>
      </c>
      <c r="H61" s="3">
        <v>14800</v>
      </c>
      <c r="J61" s="3">
        <v>156</v>
      </c>
      <c r="K61" s="3">
        <v>319</v>
      </c>
      <c r="L61" s="3">
        <v>182</v>
      </c>
      <c r="M61" s="2">
        <f t="shared" si="1"/>
        <v>17.926518325577067</v>
      </c>
    </row>
    <row r="62" spans="1:13" x14ac:dyDescent="0.3">
      <c r="A62" t="s">
        <v>20</v>
      </c>
      <c r="C62" t="str">
        <f t="shared" si="0"/>
        <v>Schumacher_1930</v>
      </c>
      <c r="E62" s="3">
        <v>140</v>
      </c>
      <c r="F62" s="3">
        <v>1</v>
      </c>
      <c r="G62" s="3">
        <v>70</v>
      </c>
      <c r="H62" s="3">
        <v>16200</v>
      </c>
      <c r="J62" s="3">
        <v>170</v>
      </c>
      <c r="K62" s="3">
        <v>328</v>
      </c>
      <c r="L62" s="3">
        <v>147</v>
      </c>
      <c r="M62" s="2">
        <f t="shared" si="1"/>
        <v>20.226212065117846</v>
      </c>
    </row>
    <row r="63" spans="1:13" x14ac:dyDescent="0.3">
      <c r="A63" t="s">
        <v>20</v>
      </c>
      <c r="C63" t="str">
        <f t="shared" si="0"/>
        <v>Schumacher_1930</v>
      </c>
      <c r="E63" s="3">
        <v>140</v>
      </c>
      <c r="F63" s="3">
        <v>1</v>
      </c>
      <c r="G63" s="3">
        <v>80</v>
      </c>
      <c r="H63" s="3">
        <v>17400</v>
      </c>
      <c r="J63" s="3">
        <v>182</v>
      </c>
      <c r="K63" s="3">
        <v>334</v>
      </c>
      <c r="L63" s="3">
        <v>121</v>
      </c>
      <c r="M63" s="2">
        <f t="shared" si="1"/>
        <v>22.496598119494944</v>
      </c>
    </row>
    <row r="64" spans="1:13" x14ac:dyDescent="0.3">
      <c r="A64" t="s">
        <v>20</v>
      </c>
      <c r="C64" t="str">
        <f t="shared" si="0"/>
        <v>Schumacher_1930</v>
      </c>
      <c r="E64" s="3">
        <v>140</v>
      </c>
      <c r="F64" s="3">
        <v>1</v>
      </c>
      <c r="G64" s="3">
        <v>90</v>
      </c>
      <c r="H64" s="3">
        <v>18400</v>
      </c>
      <c r="J64" s="3">
        <v>192</v>
      </c>
      <c r="K64" s="3">
        <v>339</v>
      </c>
      <c r="L64" s="3">
        <v>100</v>
      </c>
      <c r="M64" s="2">
        <f t="shared" si="1"/>
        <v>24.930796340762374</v>
      </c>
    </row>
    <row r="65" spans="1:13" x14ac:dyDescent="0.3">
      <c r="A65" t="s">
        <v>20</v>
      </c>
      <c r="C65" t="str">
        <f t="shared" si="0"/>
        <v>Schumacher_1930</v>
      </c>
      <c r="E65" s="3">
        <v>140</v>
      </c>
      <c r="F65" s="3">
        <v>1</v>
      </c>
      <c r="G65" s="3">
        <v>100</v>
      </c>
      <c r="H65" s="3">
        <v>19200</v>
      </c>
      <c r="J65" s="3">
        <v>201</v>
      </c>
      <c r="K65" s="3">
        <v>342</v>
      </c>
      <c r="L65" s="3">
        <v>85</v>
      </c>
      <c r="M65" s="2">
        <f t="shared" si="1"/>
        <v>27.160633296990845</v>
      </c>
    </row>
    <row r="66" spans="1:13" x14ac:dyDescent="0.3">
      <c r="A66" t="s">
        <v>20</v>
      </c>
      <c r="C66" t="str">
        <f t="shared" si="0"/>
        <v>Schumacher_1930</v>
      </c>
      <c r="E66" s="3">
        <v>140</v>
      </c>
      <c r="F66" s="3">
        <v>1</v>
      </c>
      <c r="G66" s="3">
        <v>110</v>
      </c>
      <c r="J66" s="3">
        <v>209</v>
      </c>
    </row>
    <row r="67" spans="1:13" x14ac:dyDescent="0.3">
      <c r="A67" t="s">
        <v>20</v>
      </c>
      <c r="C67" t="str">
        <f t="shared" ref="C67:C130" si="2">IF(ISBLANK(B67),A67,A67&amp;"_"&amp;B67)</f>
        <v>Schumacher_1930</v>
      </c>
      <c r="E67" s="3">
        <v>140</v>
      </c>
      <c r="F67" s="3">
        <v>1</v>
      </c>
      <c r="G67" s="3">
        <v>120</v>
      </c>
      <c r="J67" s="3">
        <v>216</v>
      </c>
    </row>
    <row r="68" spans="1:13" x14ac:dyDescent="0.3">
      <c r="A68" t="s">
        <v>20</v>
      </c>
      <c r="C68" t="str">
        <f t="shared" si="2"/>
        <v>Schumacher_1930</v>
      </c>
      <c r="E68" s="3">
        <v>140</v>
      </c>
      <c r="F68" s="3">
        <v>1</v>
      </c>
      <c r="G68" s="3">
        <v>130</v>
      </c>
      <c r="J68" s="3">
        <v>220</v>
      </c>
    </row>
    <row r="69" spans="1:13" x14ac:dyDescent="0.3">
      <c r="A69" t="s">
        <v>20</v>
      </c>
      <c r="C69" t="str">
        <f t="shared" si="2"/>
        <v>Schumacher_1930</v>
      </c>
      <c r="E69" s="3">
        <v>140</v>
      </c>
      <c r="F69" s="3">
        <v>1</v>
      </c>
      <c r="G69" s="3">
        <v>140</v>
      </c>
      <c r="J69" s="3">
        <v>224</v>
      </c>
    </row>
    <row r="70" spans="1:13" x14ac:dyDescent="0.3">
      <c r="A70" t="s">
        <v>20</v>
      </c>
      <c r="C70" t="str">
        <f t="shared" si="2"/>
        <v>Schumacher_1930</v>
      </c>
      <c r="E70" s="3">
        <v>140</v>
      </c>
      <c r="F70" s="3">
        <v>1</v>
      </c>
      <c r="G70" s="3">
        <v>150</v>
      </c>
      <c r="J70" s="3">
        <v>228</v>
      </c>
    </row>
    <row r="71" spans="1:13" x14ac:dyDescent="0.3">
      <c r="A71" t="s">
        <v>20</v>
      </c>
      <c r="C71" t="str">
        <f t="shared" si="2"/>
        <v>Schumacher_1930</v>
      </c>
      <c r="E71" s="3">
        <v>140</v>
      </c>
      <c r="F71" s="3">
        <v>1</v>
      </c>
      <c r="G71" s="3">
        <v>160</v>
      </c>
      <c r="J71" s="3">
        <v>232</v>
      </c>
    </row>
    <row r="72" spans="1:13" x14ac:dyDescent="0.3">
      <c r="A72" t="s">
        <v>21</v>
      </c>
      <c r="B72" t="s">
        <v>37</v>
      </c>
      <c r="C72" t="str">
        <f t="shared" si="2"/>
        <v>Chambers_1983_planted</v>
      </c>
      <c r="E72" s="3">
        <v>70</v>
      </c>
      <c r="F72" s="3">
        <v>5</v>
      </c>
      <c r="G72" s="3">
        <v>30</v>
      </c>
      <c r="H72" s="4">
        <v>517</v>
      </c>
      <c r="I72" s="4">
        <v>945</v>
      </c>
      <c r="K72" s="3">
        <f>(M72^2)*0.005454154*L72</f>
        <v>37.950003532000004</v>
      </c>
      <c r="L72" s="3">
        <v>142</v>
      </c>
      <c r="M72" s="2">
        <v>7</v>
      </c>
    </row>
    <row r="73" spans="1:13" x14ac:dyDescent="0.3">
      <c r="A73" t="s">
        <v>21</v>
      </c>
      <c r="B73" t="s">
        <v>37</v>
      </c>
      <c r="C73" t="str">
        <f t="shared" si="2"/>
        <v>Chambers_1983_planted</v>
      </c>
      <c r="E73" s="3">
        <v>70</v>
      </c>
      <c r="F73" s="3">
        <v>5</v>
      </c>
      <c r="G73" s="3">
        <v>40</v>
      </c>
      <c r="H73" s="4">
        <v>1874</v>
      </c>
      <c r="I73" s="4">
        <v>4407</v>
      </c>
      <c r="K73" s="3">
        <f t="shared" ref="K73:K136" si="3">(M73^2)*0.005454154*L73</f>
        <v>91.804320128000001</v>
      </c>
      <c r="L73" s="3">
        <v>263</v>
      </c>
      <c r="M73" s="2">
        <v>8</v>
      </c>
    </row>
    <row r="74" spans="1:13" x14ac:dyDescent="0.3">
      <c r="A74" t="s">
        <v>21</v>
      </c>
      <c r="B74" t="s">
        <v>37</v>
      </c>
      <c r="C74" t="str">
        <f t="shared" si="2"/>
        <v>Chambers_1983_planted</v>
      </c>
      <c r="E74" s="3">
        <v>70</v>
      </c>
      <c r="F74" s="3">
        <v>5</v>
      </c>
      <c r="G74" s="3">
        <v>50</v>
      </c>
      <c r="H74" s="4">
        <v>3126</v>
      </c>
      <c r="I74" s="4">
        <v>8845</v>
      </c>
      <c r="K74" s="3">
        <f t="shared" si="3"/>
        <v>128.31099088698002</v>
      </c>
      <c r="L74" s="3">
        <v>297</v>
      </c>
      <c r="M74" s="2">
        <v>8.9</v>
      </c>
    </row>
    <row r="75" spans="1:13" x14ac:dyDescent="0.3">
      <c r="A75" t="s">
        <v>21</v>
      </c>
      <c r="B75" t="s">
        <v>37</v>
      </c>
      <c r="C75" t="str">
        <f t="shared" si="2"/>
        <v>Chambers_1983_planted</v>
      </c>
      <c r="E75" s="3">
        <v>70</v>
      </c>
      <c r="F75" s="3">
        <v>5</v>
      </c>
      <c r="G75" s="3">
        <v>60</v>
      </c>
      <c r="H75" s="4">
        <v>4275</v>
      </c>
      <c r="I75" s="4">
        <v>13768</v>
      </c>
      <c r="K75" s="3">
        <f t="shared" si="3"/>
        <v>158.76480516138002</v>
      </c>
      <c r="L75" s="3">
        <v>297</v>
      </c>
      <c r="M75" s="2">
        <v>9.9</v>
      </c>
    </row>
    <row r="76" spans="1:13" x14ac:dyDescent="0.3">
      <c r="A76" t="s">
        <v>21</v>
      </c>
      <c r="B76" t="s">
        <v>37</v>
      </c>
      <c r="C76" t="str">
        <f t="shared" si="2"/>
        <v>Chambers_1983_planted</v>
      </c>
      <c r="E76" s="3">
        <v>70</v>
      </c>
      <c r="F76" s="3">
        <v>5</v>
      </c>
      <c r="G76" s="3">
        <v>70</v>
      </c>
      <c r="H76" s="4">
        <v>5320</v>
      </c>
      <c r="I76" s="4">
        <v>18779</v>
      </c>
      <c r="K76" s="3">
        <f t="shared" si="3"/>
        <v>180.67299640704005</v>
      </c>
      <c r="L76" s="3">
        <v>284</v>
      </c>
      <c r="M76" s="2">
        <v>10.8</v>
      </c>
    </row>
    <row r="77" spans="1:13" x14ac:dyDescent="0.3">
      <c r="A77" t="s">
        <v>21</v>
      </c>
      <c r="B77" t="s">
        <v>37</v>
      </c>
      <c r="C77" t="str">
        <f t="shared" si="2"/>
        <v>Chambers_1983_planted</v>
      </c>
      <c r="E77" s="3">
        <v>70</v>
      </c>
      <c r="F77" s="3">
        <v>5</v>
      </c>
      <c r="G77" s="3">
        <v>80</v>
      </c>
      <c r="H77" s="4">
        <v>6261</v>
      </c>
      <c r="I77" s="4">
        <v>23588</v>
      </c>
      <c r="K77" s="3">
        <f t="shared" si="3"/>
        <v>202.76951959032002</v>
      </c>
      <c r="L77" s="3">
        <v>267</v>
      </c>
      <c r="M77" s="2">
        <v>11.8</v>
      </c>
    </row>
    <row r="78" spans="1:13" x14ac:dyDescent="0.3">
      <c r="A78" t="s">
        <v>21</v>
      </c>
      <c r="B78" t="s">
        <v>37</v>
      </c>
      <c r="C78" t="str">
        <f t="shared" si="2"/>
        <v>Chambers_1983_planted</v>
      </c>
      <c r="E78" s="3">
        <v>70</v>
      </c>
      <c r="F78" s="3">
        <v>5</v>
      </c>
      <c r="G78" s="3">
        <v>90</v>
      </c>
      <c r="H78" s="4">
        <v>7099</v>
      </c>
      <c r="I78" s="4">
        <v>27977</v>
      </c>
      <c r="K78" s="3">
        <f t="shared" si="3"/>
        <v>218.16572366768</v>
      </c>
      <c r="L78" s="3">
        <v>248</v>
      </c>
      <c r="M78" s="2">
        <v>12.7</v>
      </c>
    </row>
    <row r="79" spans="1:13" x14ac:dyDescent="0.3">
      <c r="A79" t="s">
        <v>21</v>
      </c>
      <c r="B79" t="s">
        <v>37</v>
      </c>
      <c r="C79" t="str">
        <f t="shared" si="2"/>
        <v>Chambers_1983_planted</v>
      </c>
      <c r="E79" s="3">
        <v>70</v>
      </c>
      <c r="F79" s="3">
        <v>5</v>
      </c>
      <c r="G79" s="3">
        <v>100</v>
      </c>
      <c r="H79" s="4">
        <v>7833</v>
      </c>
      <c r="I79" s="4">
        <v>31773</v>
      </c>
      <c r="K79" s="3">
        <f t="shared" si="3"/>
        <v>234.42504761553997</v>
      </c>
      <c r="L79" s="3">
        <v>229</v>
      </c>
      <c r="M79" s="2">
        <v>13.7</v>
      </c>
    </row>
    <row r="80" spans="1:13" x14ac:dyDescent="0.3">
      <c r="A80" t="s">
        <v>21</v>
      </c>
      <c r="B80" t="s">
        <v>37</v>
      </c>
      <c r="C80" t="str">
        <f t="shared" si="2"/>
        <v>Chambers_1983_planted</v>
      </c>
      <c r="E80" s="3">
        <v>80</v>
      </c>
      <c r="F80" s="3">
        <v>4</v>
      </c>
      <c r="G80" s="3">
        <v>30</v>
      </c>
      <c r="H80" s="4">
        <v>1082</v>
      </c>
      <c r="I80" s="4">
        <v>2194</v>
      </c>
      <c r="K80" s="3">
        <f t="shared" si="3"/>
        <v>61.824580919280002</v>
      </c>
      <c r="L80" s="3">
        <v>207</v>
      </c>
      <c r="M80" s="2">
        <v>7.4</v>
      </c>
    </row>
    <row r="81" spans="1:13" x14ac:dyDescent="0.3">
      <c r="A81" t="s">
        <v>21</v>
      </c>
      <c r="B81" t="s">
        <v>37</v>
      </c>
      <c r="C81" t="str">
        <f t="shared" si="2"/>
        <v>Chambers_1983_planted</v>
      </c>
      <c r="E81" s="3">
        <v>80</v>
      </c>
      <c r="F81" s="3">
        <v>4</v>
      </c>
      <c r="G81" s="3">
        <v>40</v>
      </c>
      <c r="H81" s="4">
        <v>2630</v>
      </c>
      <c r="I81" s="4">
        <v>7048</v>
      </c>
      <c r="K81" s="3">
        <f t="shared" si="3"/>
        <v>113.09597380550001</v>
      </c>
      <c r="L81" s="3">
        <v>287</v>
      </c>
      <c r="M81" s="2">
        <v>8.5</v>
      </c>
    </row>
    <row r="82" spans="1:13" x14ac:dyDescent="0.3">
      <c r="A82" t="s">
        <v>21</v>
      </c>
      <c r="B82" t="s">
        <v>37</v>
      </c>
      <c r="C82" t="str">
        <f t="shared" si="2"/>
        <v>Chambers_1983_planted</v>
      </c>
      <c r="E82" s="3">
        <v>80</v>
      </c>
      <c r="F82" s="3">
        <v>4</v>
      </c>
      <c r="G82" s="3">
        <v>50</v>
      </c>
      <c r="H82" s="4">
        <v>4074</v>
      </c>
      <c r="I82" s="4">
        <v>13119</v>
      </c>
      <c r="K82" s="3">
        <f t="shared" si="3"/>
        <v>149.79114012671999</v>
      </c>
      <c r="L82" s="3">
        <v>298</v>
      </c>
      <c r="M82" s="2">
        <v>9.6</v>
      </c>
    </row>
    <row r="83" spans="1:13" x14ac:dyDescent="0.3">
      <c r="A83" t="s">
        <v>21</v>
      </c>
      <c r="B83" t="s">
        <v>37</v>
      </c>
      <c r="C83" t="str">
        <f t="shared" si="2"/>
        <v>Chambers_1983_planted</v>
      </c>
      <c r="E83" s="3">
        <v>80</v>
      </c>
      <c r="F83" s="3">
        <v>4</v>
      </c>
      <c r="G83" s="3">
        <v>60</v>
      </c>
      <c r="H83" s="4">
        <v>5414</v>
      </c>
      <c r="I83" s="4">
        <v>19749</v>
      </c>
      <c r="K83" s="3">
        <f t="shared" si="3"/>
        <v>178.59158215756</v>
      </c>
      <c r="L83" s="3">
        <v>286</v>
      </c>
      <c r="M83" s="2">
        <v>10.7</v>
      </c>
    </row>
    <row r="84" spans="1:13" x14ac:dyDescent="0.3">
      <c r="A84" t="s">
        <v>21</v>
      </c>
      <c r="B84" t="s">
        <v>37</v>
      </c>
      <c r="C84" t="str">
        <f t="shared" si="2"/>
        <v>Chambers_1983_planted</v>
      </c>
      <c r="E84" s="3">
        <v>80</v>
      </c>
      <c r="F84" s="3">
        <v>4</v>
      </c>
      <c r="G84" s="3">
        <v>70</v>
      </c>
      <c r="H84" s="4">
        <v>6651</v>
      </c>
      <c r="I84" s="4">
        <v>26484</v>
      </c>
      <c r="K84" s="3">
        <f t="shared" si="3"/>
        <v>202.76951959032002</v>
      </c>
      <c r="L84" s="3">
        <v>267</v>
      </c>
      <c r="M84" s="2">
        <v>11.8</v>
      </c>
    </row>
    <row r="85" spans="1:13" x14ac:dyDescent="0.3">
      <c r="A85" t="s">
        <v>21</v>
      </c>
      <c r="B85" t="s">
        <v>37</v>
      </c>
      <c r="C85" t="str">
        <f t="shared" si="2"/>
        <v>Chambers_1983_planted</v>
      </c>
      <c r="E85" s="3">
        <v>80</v>
      </c>
      <c r="F85" s="3">
        <v>4</v>
      </c>
      <c r="G85" s="3">
        <v>80</v>
      </c>
      <c r="H85" s="4">
        <v>7784</v>
      </c>
      <c r="I85" s="4">
        <v>33008</v>
      </c>
      <c r="K85" s="3">
        <f t="shared" si="3"/>
        <v>218.93410488320004</v>
      </c>
      <c r="L85" s="3">
        <v>245</v>
      </c>
      <c r="M85" s="2">
        <v>12.8</v>
      </c>
    </row>
    <row r="86" spans="1:13" x14ac:dyDescent="0.3">
      <c r="A86" t="s">
        <v>21</v>
      </c>
      <c r="B86" t="s">
        <v>37</v>
      </c>
      <c r="C86" t="str">
        <f t="shared" si="2"/>
        <v>Chambers_1983_planted</v>
      </c>
      <c r="E86" s="3">
        <v>80</v>
      </c>
      <c r="F86" s="3">
        <v>4</v>
      </c>
      <c r="G86" s="3">
        <v>90</v>
      </c>
      <c r="H86" s="4">
        <v>8813</v>
      </c>
      <c r="I86" s="4">
        <v>39095</v>
      </c>
      <c r="K86" s="3">
        <f t="shared" si="3"/>
        <v>237.10434622650004</v>
      </c>
      <c r="L86" s="3">
        <v>225</v>
      </c>
      <c r="M86" s="2">
        <v>13.9</v>
      </c>
    </row>
    <row r="87" spans="1:13" x14ac:dyDescent="0.3">
      <c r="A87" t="s">
        <v>21</v>
      </c>
      <c r="B87" t="s">
        <v>37</v>
      </c>
      <c r="C87" t="str">
        <f t="shared" si="2"/>
        <v>Chambers_1983_planted</v>
      </c>
      <c r="E87" s="3">
        <v>80</v>
      </c>
      <c r="F87" s="3">
        <v>4</v>
      </c>
      <c r="G87" s="3">
        <v>100</v>
      </c>
      <c r="H87" s="4">
        <v>9738</v>
      </c>
      <c r="I87" s="4">
        <v>44571</v>
      </c>
      <c r="K87" s="3">
        <f t="shared" si="3"/>
        <v>252.80003790000001</v>
      </c>
      <c r="L87" s="3">
        <v>206</v>
      </c>
      <c r="M87" s="2">
        <v>15</v>
      </c>
    </row>
    <row r="88" spans="1:13" x14ac:dyDescent="0.3">
      <c r="A88" t="s">
        <v>21</v>
      </c>
      <c r="B88" t="s">
        <v>37</v>
      </c>
      <c r="C88" t="str">
        <f t="shared" si="2"/>
        <v>Chambers_1983_planted</v>
      </c>
      <c r="E88" s="3">
        <v>90</v>
      </c>
      <c r="F88" s="3">
        <v>4</v>
      </c>
      <c r="G88" s="3">
        <v>30</v>
      </c>
      <c r="H88" s="4">
        <v>1506</v>
      </c>
      <c r="I88" s="4">
        <v>3307</v>
      </c>
      <c r="K88" s="3">
        <f t="shared" si="3"/>
        <v>77.28705296774001</v>
      </c>
      <c r="L88" s="3">
        <v>239</v>
      </c>
      <c r="M88" s="2">
        <v>7.7</v>
      </c>
    </row>
    <row r="89" spans="1:13" x14ac:dyDescent="0.3">
      <c r="A89" t="s">
        <v>21</v>
      </c>
      <c r="B89" t="s">
        <v>37</v>
      </c>
      <c r="C89" t="str">
        <f t="shared" si="2"/>
        <v>Chambers_1983_planted</v>
      </c>
      <c r="E89" s="3">
        <v>90</v>
      </c>
      <c r="F89" s="3">
        <v>4</v>
      </c>
      <c r="G89" s="3">
        <v>40</v>
      </c>
      <c r="H89" s="4">
        <v>3256</v>
      </c>
      <c r="I89" s="4">
        <v>9607</v>
      </c>
      <c r="K89" s="3">
        <f t="shared" si="3"/>
        <v>127.44694381030003</v>
      </c>
      <c r="L89" s="3">
        <v>295</v>
      </c>
      <c r="M89" s="2">
        <v>8.9</v>
      </c>
    </row>
    <row r="90" spans="1:13" x14ac:dyDescent="0.3">
      <c r="A90" t="s">
        <v>21</v>
      </c>
      <c r="B90" t="s">
        <v>37</v>
      </c>
      <c r="C90" t="str">
        <f t="shared" si="2"/>
        <v>Chambers_1983_planted</v>
      </c>
      <c r="E90" s="3">
        <v>90</v>
      </c>
      <c r="F90" s="3">
        <v>4</v>
      </c>
      <c r="G90" s="3">
        <v>50</v>
      </c>
      <c r="H90" s="4">
        <v>4902</v>
      </c>
      <c r="I90" s="4">
        <v>17362</v>
      </c>
      <c r="K90" s="3">
        <f t="shared" si="3"/>
        <v>163.01882711521998</v>
      </c>
      <c r="L90" s="3">
        <v>293</v>
      </c>
      <c r="M90" s="2">
        <v>10.1</v>
      </c>
    </row>
    <row r="91" spans="1:13" x14ac:dyDescent="0.3">
      <c r="A91" t="s">
        <v>21</v>
      </c>
      <c r="B91" t="s">
        <v>37</v>
      </c>
      <c r="C91" t="str">
        <f t="shared" si="2"/>
        <v>Chambers_1983_planted</v>
      </c>
      <c r="E91" s="3">
        <v>90</v>
      </c>
      <c r="F91" s="3">
        <v>4</v>
      </c>
      <c r="G91" s="3">
        <v>60</v>
      </c>
      <c r="H91" s="4">
        <v>6444</v>
      </c>
      <c r="I91" s="4">
        <v>25763</v>
      </c>
      <c r="K91" s="3">
        <f t="shared" si="3"/>
        <v>194.21718795216003</v>
      </c>
      <c r="L91" s="3">
        <v>274</v>
      </c>
      <c r="M91" s="2">
        <v>11.4</v>
      </c>
    </row>
    <row r="92" spans="1:13" x14ac:dyDescent="0.3">
      <c r="A92" t="s">
        <v>21</v>
      </c>
      <c r="B92" t="s">
        <v>37</v>
      </c>
      <c r="C92" t="str">
        <f t="shared" si="2"/>
        <v>Chambers_1983_planted</v>
      </c>
      <c r="E92" s="3">
        <v>90</v>
      </c>
      <c r="F92" s="3">
        <v>4</v>
      </c>
      <c r="G92" s="3">
        <v>70</v>
      </c>
      <c r="H92" s="4">
        <v>7882</v>
      </c>
      <c r="I92" s="4">
        <v>34296</v>
      </c>
      <c r="K92" s="3">
        <f t="shared" si="3"/>
        <v>216.47537226</v>
      </c>
      <c r="L92" s="3">
        <v>250</v>
      </c>
      <c r="M92" s="2">
        <v>12.6</v>
      </c>
    </row>
    <row r="93" spans="1:13" x14ac:dyDescent="0.3">
      <c r="A93" t="s">
        <v>21</v>
      </c>
      <c r="B93" t="s">
        <v>37</v>
      </c>
      <c r="C93" t="str">
        <f t="shared" si="2"/>
        <v>Chambers_1983_planted</v>
      </c>
      <c r="E93" s="3">
        <v>90</v>
      </c>
      <c r="F93" s="3">
        <v>4</v>
      </c>
      <c r="G93" s="3">
        <v>80</v>
      </c>
      <c r="H93" s="4">
        <v>9217</v>
      </c>
      <c r="I93" s="4">
        <v>42619</v>
      </c>
      <c r="K93" s="3">
        <f t="shared" si="3"/>
        <v>235.78242292152004</v>
      </c>
      <c r="L93" s="3">
        <v>227</v>
      </c>
      <c r="M93" s="2">
        <v>13.8</v>
      </c>
    </row>
    <row r="94" spans="1:13" x14ac:dyDescent="0.3">
      <c r="A94" t="s">
        <v>21</v>
      </c>
      <c r="B94" t="s">
        <v>37</v>
      </c>
      <c r="C94" t="str">
        <f t="shared" si="2"/>
        <v>Chambers_1983_planted</v>
      </c>
      <c r="E94" s="3">
        <v>90</v>
      </c>
      <c r="F94" s="3">
        <v>4</v>
      </c>
      <c r="G94" s="3">
        <v>90</v>
      </c>
      <c r="H94" s="4">
        <v>10448</v>
      </c>
      <c r="I94" s="4">
        <v>50496</v>
      </c>
      <c r="K94" s="3">
        <f t="shared" si="3"/>
        <v>251.57285325000001</v>
      </c>
      <c r="L94" s="3">
        <v>205</v>
      </c>
      <c r="M94" s="2">
        <v>15</v>
      </c>
    </row>
    <row r="95" spans="1:13" x14ac:dyDescent="0.3">
      <c r="A95" t="s">
        <v>21</v>
      </c>
      <c r="B95" t="s">
        <v>37</v>
      </c>
      <c r="C95" t="str">
        <f t="shared" si="2"/>
        <v>Chambers_1983_planted</v>
      </c>
      <c r="E95" s="3">
        <v>90</v>
      </c>
      <c r="F95" s="3">
        <v>4</v>
      </c>
      <c r="G95" s="3">
        <v>100</v>
      </c>
      <c r="H95" s="4">
        <v>11576</v>
      </c>
      <c r="I95" s="4">
        <v>57757</v>
      </c>
      <c r="K95" s="3">
        <f t="shared" si="3"/>
        <v>269.53523678435999</v>
      </c>
      <c r="L95" s="3">
        <v>186</v>
      </c>
      <c r="M95" s="2">
        <v>16.3</v>
      </c>
    </row>
    <row r="96" spans="1:13" x14ac:dyDescent="0.3">
      <c r="A96" t="s">
        <v>21</v>
      </c>
      <c r="B96" t="s">
        <v>37</v>
      </c>
      <c r="C96" t="str">
        <f t="shared" si="2"/>
        <v>Chambers_1983_planted</v>
      </c>
      <c r="E96" s="3">
        <v>100</v>
      </c>
      <c r="F96" s="3">
        <v>3</v>
      </c>
      <c r="G96" s="3">
        <v>30</v>
      </c>
      <c r="H96" s="4">
        <v>2130</v>
      </c>
      <c r="I96" s="4">
        <v>5259</v>
      </c>
      <c r="K96" s="3">
        <f t="shared" si="3"/>
        <v>96.618701863799998</v>
      </c>
      <c r="L96" s="3">
        <v>270</v>
      </c>
      <c r="M96" s="2">
        <v>8.1</v>
      </c>
    </row>
    <row r="97" spans="1:13" x14ac:dyDescent="0.3">
      <c r="A97" t="s">
        <v>21</v>
      </c>
      <c r="B97" t="s">
        <v>37</v>
      </c>
      <c r="C97" t="str">
        <f t="shared" si="2"/>
        <v>Chambers_1983_planted</v>
      </c>
      <c r="E97" s="3">
        <v>100</v>
      </c>
      <c r="F97" s="3">
        <v>3</v>
      </c>
      <c r="G97" s="3">
        <v>40</v>
      </c>
      <c r="H97" s="4">
        <v>4071</v>
      </c>
      <c r="I97" s="4">
        <v>13361</v>
      </c>
      <c r="K97" s="3">
        <f t="shared" si="3"/>
        <v>146.686744753</v>
      </c>
      <c r="L97" s="3">
        <v>298</v>
      </c>
      <c r="M97" s="2">
        <v>9.5</v>
      </c>
    </row>
    <row r="98" spans="1:13" x14ac:dyDescent="0.3">
      <c r="A98" t="s">
        <v>21</v>
      </c>
      <c r="B98" t="s">
        <v>37</v>
      </c>
      <c r="C98" t="str">
        <f t="shared" si="2"/>
        <v>Chambers_1983_planted</v>
      </c>
      <c r="E98" s="3">
        <v>100</v>
      </c>
      <c r="F98" s="3">
        <v>3</v>
      </c>
      <c r="G98" s="3">
        <v>50</v>
      </c>
      <c r="H98" s="4">
        <v>5909</v>
      </c>
      <c r="I98" s="4">
        <v>22986</v>
      </c>
      <c r="K98" s="3">
        <f t="shared" si="3"/>
        <v>180.03682388448004</v>
      </c>
      <c r="L98" s="3">
        <v>283</v>
      </c>
      <c r="M98" s="2">
        <v>10.8</v>
      </c>
    </row>
    <row r="99" spans="1:13" x14ac:dyDescent="0.3">
      <c r="A99" t="s">
        <v>21</v>
      </c>
      <c r="B99" t="s">
        <v>37</v>
      </c>
      <c r="C99" t="str">
        <f t="shared" si="2"/>
        <v>Chambers_1983_planted</v>
      </c>
      <c r="E99" s="3">
        <v>100</v>
      </c>
      <c r="F99" s="3">
        <v>3</v>
      </c>
      <c r="G99" s="3">
        <v>60</v>
      </c>
      <c r="H99" s="4">
        <v>7642</v>
      </c>
      <c r="I99" s="4">
        <v>33245</v>
      </c>
      <c r="K99" s="3">
        <f t="shared" si="3"/>
        <v>209.44344059087999</v>
      </c>
      <c r="L99" s="3">
        <v>258</v>
      </c>
      <c r="M99" s="2">
        <v>12.2</v>
      </c>
    </row>
    <row r="100" spans="1:13" x14ac:dyDescent="0.3">
      <c r="A100" t="s">
        <v>21</v>
      </c>
      <c r="B100" t="s">
        <v>37</v>
      </c>
      <c r="C100" t="str">
        <f t="shared" si="2"/>
        <v>Chambers_1983_planted</v>
      </c>
      <c r="E100" s="3">
        <v>100</v>
      </c>
      <c r="F100" s="3">
        <v>3</v>
      </c>
      <c r="G100" s="3">
        <v>70</v>
      </c>
      <c r="H100" s="4">
        <v>9273</v>
      </c>
      <c r="I100" s="4">
        <v>43590</v>
      </c>
      <c r="K100" s="3">
        <f t="shared" si="3"/>
        <v>233.03287480703997</v>
      </c>
      <c r="L100" s="3">
        <v>231</v>
      </c>
      <c r="M100" s="2">
        <v>13.6</v>
      </c>
    </row>
    <row r="101" spans="1:13" x14ac:dyDescent="0.3">
      <c r="A101" t="s">
        <v>21</v>
      </c>
      <c r="B101" t="s">
        <v>37</v>
      </c>
      <c r="C101" t="str">
        <f t="shared" si="2"/>
        <v>Chambers_1983_planted</v>
      </c>
      <c r="E101" s="3">
        <v>100</v>
      </c>
      <c r="F101" s="3">
        <v>3</v>
      </c>
      <c r="G101" s="3">
        <v>80</v>
      </c>
      <c r="H101" s="4">
        <v>10799</v>
      </c>
      <c r="I101" s="4">
        <v>53672</v>
      </c>
      <c r="K101" s="3">
        <f t="shared" si="3"/>
        <v>250.65148301478001</v>
      </c>
      <c r="L101" s="3">
        <v>207</v>
      </c>
      <c r="M101" s="2">
        <v>14.9</v>
      </c>
    </row>
    <row r="102" spans="1:13" x14ac:dyDescent="0.3">
      <c r="A102" t="s">
        <v>21</v>
      </c>
      <c r="B102" t="s">
        <v>37</v>
      </c>
      <c r="C102" t="str">
        <f t="shared" si="2"/>
        <v>Chambers_1983_planted</v>
      </c>
      <c r="E102" s="3">
        <v>100</v>
      </c>
      <c r="F102" s="3">
        <v>3</v>
      </c>
      <c r="G102" s="3">
        <v>90</v>
      </c>
      <c r="H102" s="4">
        <v>12222</v>
      </c>
      <c r="I102" s="4">
        <v>63264</v>
      </c>
      <c r="K102" s="3">
        <f t="shared" si="3"/>
        <v>268.08612260809997</v>
      </c>
      <c r="L102" s="3">
        <v>185</v>
      </c>
      <c r="M102" s="2">
        <v>16.3</v>
      </c>
    </row>
    <row r="103" spans="1:13" x14ac:dyDescent="0.3">
      <c r="A103" t="s">
        <v>21</v>
      </c>
      <c r="B103" t="s">
        <v>37</v>
      </c>
      <c r="C103" t="str">
        <f t="shared" si="2"/>
        <v>Chambers_1983_planted</v>
      </c>
      <c r="E103" s="3">
        <v>100</v>
      </c>
      <c r="F103" s="3">
        <v>3</v>
      </c>
      <c r="G103" s="3">
        <v>100</v>
      </c>
      <c r="H103" s="4">
        <v>13540</v>
      </c>
      <c r="I103" s="4">
        <v>72210</v>
      </c>
      <c r="K103" s="3">
        <f t="shared" si="3"/>
        <v>282.14295008768005</v>
      </c>
      <c r="L103" s="3">
        <v>167</v>
      </c>
      <c r="M103" s="2">
        <v>17.600000000000001</v>
      </c>
    </row>
    <row r="104" spans="1:13" x14ac:dyDescent="0.3">
      <c r="A104" t="s">
        <v>21</v>
      </c>
      <c r="B104" t="s">
        <v>37</v>
      </c>
      <c r="C104" t="str">
        <f t="shared" si="2"/>
        <v>Chambers_1983_planted</v>
      </c>
      <c r="E104" s="3">
        <v>110</v>
      </c>
      <c r="F104" s="3">
        <v>3</v>
      </c>
      <c r="G104" s="3">
        <v>30</v>
      </c>
      <c r="H104" s="4">
        <v>2574</v>
      </c>
      <c r="I104" s="4">
        <v>6853</v>
      </c>
      <c r="K104" s="3">
        <f t="shared" si="3"/>
        <v>108.91116506592</v>
      </c>
      <c r="L104" s="3">
        <v>283</v>
      </c>
      <c r="M104" s="2">
        <v>8.4</v>
      </c>
    </row>
    <row r="105" spans="1:13" x14ac:dyDescent="0.3">
      <c r="A105" t="s">
        <v>21</v>
      </c>
      <c r="B105" t="s">
        <v>37</v>
      </c>
      <c r="C105" t="str">
        <f t="shared" si="2"/>
        <v>Chambers_1983_planted</v>
      </c>
      <c r="E105" s="3">
        <v>110</v>
      </c>
      <c r="F105" s="3">
        <v>3</v>
      </c>
      <c r="G105" s="3">
        <v>40</v>
      </c>
      <c r="H105" s="4">
        <v>4717</v>
      </c>
      <c r="I105" s="4">
        <v>16660</v>
      </c>
      <c r="K105" s="3">
        <f t="shared" si="3"/>
        <v>157.69568189430004</v>
      </c>
      <c r="L105" s="3">
        <v>295</v>
      </c>
      <c r="M105" s="2">
        <v>9.9</v>
      </c>
    </row>
    <row r="106" spans="1:13" x14ac:dyDescent="0.3">
      <c r="A106" t="s">
        <v>21</v>
      </c>
      <c r="B106" t="s">
        <v>37</v>
      </c>
      <c r="C106" t="str">
        <f t="shared" si="2"/>
        <v>Chambers_1983_planted</v>
      </c>
      <c r="E106" s="3">
        <v>110</v>
      </c>
      <c r="F106" s="3">
        <v>3</v>
      </c>
      <c r="G106" s="3">
        <v>50</v>
      </c>
      <c r="H106" s="4">
        <v>6757</v>
      </c>
      <c r="I106" s="4">
        <v>28112</v>
      </c>
      <c r="K106" s="3">
        <f t="shared" si="3"/>
        <v>193.50836609832001</v>
      </c>
      <c r="L106" s="3">
        <v>273</v>
      </c>
      <c r="M106" s="2">
        <v>11.4</v>
      </c>
    </row>
    <row r="107" spans="1:13" x14ac:dyDescent="0.3">
      <c r="A107" t="s">
        <v>21</v>
      </c>
      <c r="B107" t="s">
        <v>37</v>
      </c>
      <c r="C107" t="str">
        <f t="shared" si="2"/>
        <v>Chambers_1983_planted</v>
      </c>
      <c r="E107" s="3">
        <v>110</v>
      </c>
      <c r="F107" s="3">
        <v>3</v>
      </c>
      <c r="G107" s="3">
        <v>60</v>
      </c>
      <c r="H107" s="4">
        <v>8693</v>
      </c>
      <c r="I107" s="4">
        <v>40211</v>
      </c>
      <c r="K107" s="3">
        <f t="shared" si="3"/>
        <v>221.46068718216</v>
      </c>
      <c r="L107" s="3">
        <v>244</v>
      </c>
      <c r="M107" s="2">
        <v>12.9</v>
      </c>
    </row>
    <row r="108" spans="1:13" x14ac:dyDescent="0.3">
      <c r="A108" t="s">
        <v>21</v>
      </c>
      <c r="B108" t="s">
        <v>37</v>
      </c>
      <c r="C108" t="str">
        <f t="shared" si="2"/>
        <v>Chambers_1983_planted</v>
      </c>
      <c r="E108" s="3">
        <v>110</v>
      </c>
      <c r="F108" s="3">
        <v>3</v>
      </c>
      <c r="G108" s="3">
        <v>70</v>
      </c>
      <c r="H108" s="4">
        <v>10525</v>
      </c>
      <c r="I108" s="4">
        <v>52362</v>
      </c>
      <c r="K108" s="3">
        <f t="shared" si="3"/>
        <v>244.29024866304002</v>
      </c>
      <c r="L108" s="3">
        <v>216</v>
      </c>
      <c r="M108" s="2">
        <v>14.4</v>
      </c>
    </row>
    <row r="109" spans="1:13" x14ac:dyDescent="0.3">
      <c r="A109" t="s">
        <v>21</v>
      </c>
      <c r="B109" t="s">
        <v>37</v>
      </c>
      <c r="C109" t="str">
        <f t="shared" si="2"/>
        <v>Chambers_1983_planted</v>
      </c>
      <c r="E109" s="3">
        <v>110</v>
      </c>
      <c r="F109" s="3">
        <v>3</v>
      </c>
      <c r="G109" s="3">
        <v>80</v>
      </c>
      <c r="H109" s="4">
        <v>12253</v>
      </c>
      <c r="I109" s="4">
        <v>64199</v>
      </c>
      <c r="K109" s="3">
        <f t="shared" si="3"/>
        <v>263.36315249334001</v>
      </c>
      <c r="L109" s="3">
        <v>191</v>
      </c>
      <c r="M109" s="2">
        <v>15.9</v>
      </c>
    </row>
    <row r="110" spans="1:13" x14ac:dyDescent="0.3">
      <c r="A110" t="s">
        <v>21</v>
      </c>
      <c r="B110" t="s">
        <v>37</v>
      </c>
      <c r="C110" t="str">
        <f t="shared" si="2"/>
        <v>Chambers_1983_planted</v>
      </c>
      <c r="E110" s="3">
        <v>110</v>
      </c>
      <c r="F110" s="3">
        <v>3</v>
      </c>
      <c r="G110" s="3">
        <v>90</v>
      </c>
      <c r="H110" s="4">
        <v>13877</v>
      </c>
      <c r="I110" s="4">
        <v>75493</v>
      </c>
      <c r="K110" s="3">
        <f t="shared" si="3"/>
        <v>280.72094305679991</v>
      </c>
      <c r="L110" s="3">
        <v>170</v>
      </c>
      <c r="M110" s="2">
        <v>17.399999999999999</v>
      </c>
    </row>
    <row r="111" spans="1:13" x14ac:dyDescent="0.3">
      <c r="A111" t="s">
        <v>21</v>
      </c>
      <c r="B111" t="s">
        <v>37</v>
      </c>
      <c r="C111" t="str">
        <f t="shared" si="2"/>
        <v>Chambers_1983_planted</v>
      </c>
      <c r="E111" s="3">
        <v>110</v>
      </c>
      <c r="F111" s="3">
        <v>3</v>
      </c>
      <c r="G111" s="3">
        <v>100</v>
      </c>
      <c r="H111" s="4">
        <v>15398</v>
      </c>
      <c r="I111" s="4">
        <v>86108</v>
      </c>
      <c r="K111" s="3">
        <f t="shared" si="3"/>
        <v>296.13830925167997</v>
      </c>
      <c r="L111" s="3">
        <v>152</v>
      </c>
      <c r="M111" s="2">
        <v>18.899999999999999</v>
      </c>
    </row>
    <row r="112" spans="1:13" x14ac:dyDescent="0.3">
      <c r="A112" t="s">
        <v>21</v>
      </c>
      <c r="B112" t="s">
        <v>37</v>
      </c>
      <c r="C112" t="str">
        <f t="shared" si="2"/>
        <v>Chambers_1983_planted</v>
      </c>
      <c r="E112" s="3">
        <v>120</v>
      </c>
      <c r="F112" s="3">
        <v>2</v>
      </c>
      <c r="G112" s="3">
        <v>30</v>
      </c>
      <c r="H112" s="4">
        <v>3257</v>
      </c>
      <c r="I112" s="4">
        <v>9649</v>
      </c>
      <c r="K112" s="3">
        <f t="shared" si="3"/>
        <v>127.01492027196002</v>
      </c>
      <c r="L112" s="3">
        <v>294</v>
      </c>
      <c r="M112" s="2">
        <v>8.9</v>
      </c>
    </row>
    <row r="113" spans="1:13" x14ac:dyDescent="0.3">
      <c r="A113" t="s">
        <v>21</v>
      </c>
      <c r="B113" t="s">
        <v>37</v>
      </c>
      <c r="C113" t="str">
        <f t="shared" si="2"/>
        <v>Chambers_1983_planted</v>
      </c>
      <c r="E113" s="3">
        <v>120</v>
      </c>
      <c r="F113" s="3">
        <v>2</v>
      </c>
      <c r="G113" s="3">
        <v>40</v>
      </c>
      <c r="H113" s="4">
        <v>5592</v>
      </c>
      <c r="I113" s="4">
        <v>21474</v>
      </c>
      <c r="K113" s="3">
        <f t="shared" si="3"/>
        <v>173.18029780800001</v>
      </c>
      <c r="L113" s="3">
        <v>288</v>
      </c>
      <c r="M113" s="2">
        <v>10.5</v>
      </c>
    </row>
    <row r="114" spans="1:13" x14ac:dyDescent="0.3">
      <c r="A114" t="s">
        <v>21</v>
      </c>
      <c r="B114" t="s">
        <v>37</v>
      </c>
      <c r="C114" t="str">
        <f t="shared" si="2"/>
        <v>Chambers_1983_planted</v>
      </c>
      <c r="E114" s="3">
        <v>120</v>
      </c>
      <c r="F114" s="3">
        <v>2</v>
      </c>
      <c r="G114" s="3">
        <v>50</v>
      </c>
      <c r="H114" s="4">
        <v>7823</v>
      </c>
      <c r="I114" s="4">
        <v>34883</v>
      </c>
      <c r="K114" s="3">
        <f t="shared" si="3"/>
        <v>206.02401328211999</v>
      </c>
      <c r="L114" s="3">
        <v>258</v>
      </c>
      <c r="M114" s="2">
        <v>12.1</v>
      </c>
    </row>
    <row r="115" spans="1:13" x14ac:dyDescent="0.3">
      <c r="A115" t="s">
        <v>21</v>
      </c>
      <c r="B115" t="s">
        <v>37</v>
      </c>
      <c r="C115" t="str">
        <f t="shared" si="2"/>
        <v>Chambers_1983_planted</v>
      </c>
      <c r="E115" s="3">
        <v>120</v>
      </c>
      <c r="F115" s="3">
        <v>2</v>
      </c>
      <c r="G115" s="3">
        <v>60</v>
      </c>
      <c r="H115" s="4">
        <v>9951</v>
      </c>
      <c r="I115" s="4">
        <v>48836</v>
      </c>
      <c r="K115" s="3">
        <f t="shared" si="3"/>
        <v>235.78242292152004</v>
      </c>
      <c r="L115" s="3">
        <v>227</v>
      </c>
      <c r="M115" s="2">
        <v>13.8</v>
      </c>
    </row>
    <row r="116" spans="1:13" x14ac:dyDescent="0.3">
      <c r="A116" t="s">
        <v>21</v>
      </c>
      <c r="B116" t="s">
        <v>37</v>
      </c>
      <c r="C116" t="str">
        <f t="shared" si="2"/>
        <v>Chambers_1983_planted</v>
      </c>
      <c r="E116" s="3">
        <v>120</v>
      </c>
      <c r="F116" s="3">
        <v>2</v>
      </c>
      <c r="G116" s="3">
        <v>70</v>
      </c>
      <c r="H116" s="4">
        <v>11974</v>
      </c>
      <c r="I116" s="4">
        <v>62726</v>
      </c>
      <c r="K116" s="3">
        <f t="shared" si="3"/>
        <v>257.40792536536003</v>
      </c>
      <c r="L116" s="3">
        <v>199</v>
      </c>
      <c r="M116" s="2">
        <v>15.4</v>
      </c>
    </row>
    <row r="117" spans="1:13" x14ac:dyDescent="0.3">
      <c r="A117" t="s">
        <v>21</v>
      </c>
      <c r="B117" t="s">
        <v>37</v>
      </c>
      <c r="C117" t="str">
        <f t="shared" si="2"/>
        <v>Chambers_1983_planted</v>
      </c>
      <c r="E117" s="3">
        <v>120</v>
      </c>
      <c r="F117" s="3">
        <v>2</v>
      </c>
      <c r="G117" s="3">
        <v>80</v>
      </c>
      <c r="H117" s="4">
        <v>13894</v>
      </c>
      <c r="I117" s="4">
        <v>76186</v>
      </c>
      <c r="K117" s="3">
        <f t="shared" si="3"/>
        <v>274.26758804400004</v>
      </c>
      <c r="L117" s="3">
        <v>174</v>
      </c>
      <c r="M117" s="2">
        <v>17</v>
      </c>
    </row>
    <row r="118" spans="1:13" x14ac:dyDescent="0.3">
      <c r="A118" t="s">
        <v>21</v>
      </c>
      <c r="B118" t="s">
        <v>37</v>
      </c>
      <c r="C118" t="str">
        <f t="shared" si="2"/>
        <v>Chambers_1983_planted</v>
      </c>
      <c r="E118" s="3">
        <v>120</v>
      </c>
      <c r="F118" s="3">
        <v>2</v>
      </c>
      <c r="G118" s="3">
        <v>90</v>
      </c>
      <c r="H118" s="4">
        <v>15710</v>
      </c>
      <c r="I118" s="4">
        <v>89009</v>
      </c>
      <c r="K118" s="3">
        <f t="shared" si="3"/>
        <v>293.71851928804</v>
      </c>
      <c r="L118" s="3">
        <v>154</v>
      </c>
      <c r="M118" s="2">
        <v>18.7</v>
      </c>
    </row>
    <row r="119" spans="1:13" x14ac:dyDescent="0.3">
      <c r="A119" t="s">
        <v>21</v>
      </c>
      <c r="B119" t="s">
        <v>37</v>
      </c>
      <c r="C119" t="str">
        <f t="shared" si="2"/>
        <v>Chambers_1983_planted</v>
      </c>
      <c r="E119" s="3">
        <v>120</v>
      </c>
      <c r="F119" s="3">
        <v>2</v>
      </c>
      <c r="G119" s="3">
        <v>100</v>
      </c>
      <c r="H119" s="4">
        <v>17423</v>
      </c>
      <c r="I119" s="4">
        <v>101084</v>
      </c>
      <c r="K119" s="3">
        <f t="shared" si="3"/>
        <v>307.92151809481999</v>
      </c>
      <c r="L119" s="3">
        <v>137</v>
      </c>
      <c r="M119" s="2">
        <v>20.3</v>
      </c>
    </row>
    <row r="120" spans="1:13" x14ac:dyDescent="0.3">
      <c r="A120" t="s">
        <v>21</v>
      </c>
      <c r="B120" t="s">
        <v>37</v>
      </c>
      <c r="C120" t="str">
        <f t="shared" si="2"/>
        <v>Chambers_1983_planted</v>
      </c>
      <c r="E120" s="3">
        <v>130</v>
      </c>
      <c r="F120" s="3">
        <v>2</v>
      </c>
      <c r="G120" s="3">
        <v>30</v>
      </c>
      <c r="H120" s="4">
        <v>3722</v>
      </c>
      <c r="I120" s="4">
        <v>11748</v>
      </c>
      <c r="K120" s="3">
        <f t="shared" si="3"/>
        <v>136.64531998975997</v>
      </c>
      <c r="L120" s="3">
        <v>296</v>
      </c>
      <c r="M120" s="2">
        <v>9.1999999999999993</v>
      </c>
    </row>
    <row r="121" spans="1:13" x14ac:dyDescent="0.3">
      <c r="A121" t="s">
        <v>21</v>
      </c>
      <c r="B121" t="s">
        <v>37</v>
      </c>
      <c r="C121" t="str">
        <f t="shared" si="2"/>
        <v>Chambers_1983_planted</v>
      </c>
      <c r="E121" s="3">
        <v>130</v>
      </c>
      <c r="F121" s="3">
        <v>2</v>
      </c>
      <c r="G121" s="3">
        <v>40</v>
      </c>
      <c r="H121" s="4">
        <v>6259</v>
      </c>
      <c r="I121" s="4">
        <v>25408</v>
      </c>
      <c r="K121" s="3">
        <f t="shared" si="3"/>
        <v>181.44225028720001</v>
      </c>
      <c r="L121" s="3">
        <v>280</v>
      </c>
      <c r="M121" s="2">
        <v>10.9</v>
      </c>
    </row>
    <row r="122" spans="1:13" x14ac:dyDescent="0.3">
      <c r="A122" t="s">
        <v>21</v>
      </c>
      <c r="B122" t="s">
        <v>37</v>
      </c>
      <c r="C122" t="str">
        <f t="shared" si="2"/>
        <v>Chambers_1983_planted</v>
      </c>
      <c r="E122" s="3">
        <v>130</v>
      </c>
      <c r="F122" s="3">
        <v>2</v>
      </c>
      <c r="G122" s="3">
        <v>50</v>
      </c>
      <c r="H122" s="4">
        <v>8692</v>
      </c>
      <c r="I122" s="4">
        <v>40677</v>
      </c>
      <c r="K122" s="3">
        <f t="shared" si="3"/>
        <v>217.28602316902001</v>
      </c>
      <c r="L122" s="3">
        <v>247</v>
      </c>
      <c r="M122" s="2">
        <v>12.7</v>
      </c>
    </row>
    <row r="123" spans="1:13" x14ac:dyDescent="0.3">
      <c r="A123" t="s">
        <v>21</v>
      </c>
      <c r="B123" t="s">
        <v>37</v>
      </c>
      <c r="C123" t="str">
        <f t="shared" si="2"/>
        <v>Chambers_1983_planted</v>
      </c>
      <c r="E123" s="3">
        <v>130</v>
      </c>
      <c r="F123" s="3">
        <v>2</v>
      </c>
      <c r="G123" s="3">
        <v>60</v>
      </c>
      <c r="H123" s="4">
        <v>11021</v>
      </c>
      <c r="I123" s="4">
        <v>56426</v>
      </c>
      <c r="K123" s="3">
        <f t="shared" si="3"/>
        <v>245.40147799899998</v>
      </c>
      <c r="L123" s="3">
        <v>214</v>
      </c>
      <c r="M123" s="2">
        <v>14.5</v>
      </c>
    </row>
    <row r="124" spans="1:13" x14ac:dyDescent="0.3">
      <c r="A124" t="s">
        <v>21</v>
      </c>
      <c r="B124" t="s">
        <v>37</v>
      </c>
      <c r="C124" t="str">
        <f t="shared" si="2"/>
        <v>Chambers_1983_planted</v>
      </c>
      <c r="E124" s="3">
        <v>130</v>
      </c>
      <c r="F124" s="3">
        <v>2</v>
      </c>
      <c r="G124" s="3">
        <v>70</v>
      </c>
      <c r="H124" s="4">
        <v>13246</v>
      </c>
      <c r="I124" s="4">
        <v>72001</v>
      </c>
      <c r="K124" s="3">
        <f t="shared" si="3"/>
        <v>268.08612260809997</v>
      </c>
      <c r="L124" s="3">
        <v>185</v>
      </c>
      <c r="M124" s="2">
        <v>16.3</v>
      </c>
    </row>
    <row r="125" spans="1:13" x14ac:dyDescent="0.3">
      <c r="A125" t="s">
        <v>21</v>
      </c>
      <c r="B125" t="s">
        <v>37</v>
      </c>
      <c r="C125" t="str">
        <f t="shared" si="2"/>
        <v>Chambers_1983_planted</v>
      </c>
      <c r="E125" s="3">
        <v>130</v>
      </c>
      <c r="F125" s="3">
        <v>2</v>
      </c>
      <c r="G125" s="3">
        <v>80</v>
      </c>
      <c r="H125" s="4">
        <v>15368</v>
      </c>
      <c r="I125" s="4">
        <v>87024</v>
      </c>
      <c r="K125" s="3">
        <f t="shared" si="3"/>
        <v>284.51048925599997</v>
      </c>
      <c r="L125" s="3">
        <v>161</v>
      </c>
      <c r="M125" s="2">
        <v>18</v>
      </c>
    </row>
    <row r="126" spans="1:13" x14ac:dyDescent="0.3">
      <c r="A126" t="s">
        <v>21</v>
      </c>
      <c r="B126" t="s">
        <v>37</v>
      </c>
      <c r="C126" t="str">
        <f t="shared" si="2"/>
        <v>Chambers_1983_planted</v>
      </c>
      <c r="E126" s="3">
        <v>130</v>
      </c>
      <c r="F126" s="3">
        <v>2</v>
      </c>
      <c r="G126" s="3">
        <v>90</v>
      </c>
      <c r="H126" s="4">
        <v>17386</v>
      </c>
      <c r="I126" s="4">
        <v>101296</v>
      </c>
      <c r="K126" s="3">
        <f t="shared" si="3"/>
        <v>303.63100785072004</v>
      </c>
      <c r="L126" s="3">
        <v>142</v>
      </c>
      <c r="M126" s="2">
        <v>19.8</v>
      </c>
    </row>
    <row r="127" spans="1:13" x14ac:dyDescent="0.3">
      <c r="A127" t="s">
        <v>21</v>
      </c>
      <c r="B127" t="s">
        <v>37</v>
      </c>
      <c r="C127" t="str">
        <f t="shared" si="2"/>
        <v>Chambers_1983_planted</v>
      </c>
      <c r="E127" s="3">
        <v>130</v>
      </c>
      <c r="F127" s="3">
        <v>2</v>
      </c>
      <c r="G127" s="3">
        <v>100</v>
      </c>
      <c r="H127" s="4">
        <v>19301</v>
      </c>
      <c r="I127" s="4">
        <v>114735</v>
      </c>
      <c r="K127" s="3">
        <f t="shared" si="3"/>
        <v>318.08626128000009</v>
      </c>
      <c r="L127" s="3">
        <v>125</v>
      </c>
      <c r="M127" s="2">
        <v>21.6</v>
      </c>
    </row>
    <row r="128" spans="1:13" x14ac:dyDescent="0.3">
      <c r="A128" t="s">
        <v>21</v>
      </c>
      <c r="B128" t="s">
        <v>37</v>
      </c>
      <c r="C128" t="str">
        <f t="shared" si="2"/>
        <v>Chambers_1983_planted</v>
      </c>
      <c r="E128" s="3">
        <v>140</v>
      </c>
      <c r="F128" s="3">
        <v>1</v>
      </c>
      <c r="G128" s="3">
        <v>30</v>
      </c>
      <c r="H128" s="4">
        <v>4465</v>
      </c>
      <c r="I128" s="4">
        <v>15426</v>
      </c>
      <c r="K128" s="3">
        <f t="shared" si="3"/>
        <v>151.90167955855998</v>
      </c>
      <c r="L128" s="3">
        <v>296</v>
      </c>
      <c r="M128" s="2">
        <v>9.6999999999999993</v>
      </c>
    </row>
    <row r="129" spans="1:13" x14ac:dyDescent="0.3">
      <c r="A129" t="s">
        <v>21</v>
      </c>
      <c r="B129" t="s">
        <v>37</v>
      </c>
      <c r="C129" t="str">
        <f t="shared" si="2"/>
        <v>Chambers_1983_planted</v>
      </c>
      <c r="E129" s="3">
        <v>140</v>
      </c>
      <c r="F129" s="3">
        <v>1</v>
      </c>
      <c r="G129" s="3">
        <v>40</v>
      </c>
      <c r="H129" s="4">
        <v>7193</v>
      </c>
      <c r="I129" s="4">
        <v>31190</v>
      </c>
      <c r="K129" s="3">
        <f t="shared" si="3"/>
        <v>196.68813788032003</v>
      </c>
      <c r="L129" s="3">
        <v>268</v>
      </c>
      <c r="M129" s="2">
        <v>11.6</v>
      </c>
    </row>
    <row r="130" spans="1:13" x14ac:dyDescent="0.3">
      <c r="A130" t="s">
        <v>21</v>
      </c>
      <c r="B130" t="s">
        <v>37</v>
      </c>
      <c r="C130" t="str">
        <f t="shared" si="2"/>
        <v>Chambers_1983_planted</v>
      </c>
      <c r="E130" s="3">
        <v>140</v>
      </c>
      <c r="F130" s="3">
        <v>1</v>
      </c>
      <c r="G130" s="3">
        <v>50</v>
      </c>
      <c r="H130" s="4">
        <v>9818</v>
      </c>
      <c r="I130" s="4">
        <v>48391</v>
      </c>
      <c r="K130" s="3">
        <f t="shared" si="3"/>
        <v>230.61253942799999</v>
      </c>
      <c r="L130" s="3">
        <v>232</v>
      </c>
      <c r="M130" s="2">
        <v>13.5</v>
      </c>
    </row>
    <row r="131" spans="1:13" x14ac:dyDescent="0.3">
      <c r="A131" t="s">
        <v>21</v>
      </c>
      <c r="B131" t="s">
        <v>37</v>
      </c>
      <c r="C131" t="str">
        <f t="shared" ref="C131:C194" si="4">IF(ISBLANK(B131),A131,A131&amp;"_"&amp;B131)</f>
        <v>Chambers_1983_planted</v>
      </c>
      <c r="E131" s="3">
        <v>140</v>
      </c>
      <c r="F131" s="3">
        <v>1</v>
      </c>
      <c r="G131" s="3">
        <v>60</v>
      </c>
      <c r="H131" s="4">
        <v>12339</v>
      </c>
      <c r="I131" s="4">
        <v>65877</v>
      </c>
      <c r="K131" s="3">
        <f t="shared" si="3"/>
        <v>256.11441820272</v>
      </c>
      <c r="L131" s="3">
        <v>198</v>
      </c>
      <c r="M131" s="2">
        <v>15.4</v>
      </c>
    </row>
    <row r="132" spans="1:13" x14ac:dyDescent="0.3">
      <c r="A132" t="s">
        <v>21</v>
      </c>
      <c r="B132" t="s">
        <v>37</v>
      </c>
      <c r="C132" t="str">
        <f t="shared" si="4"/>
        <v>Chambers_1983_planted</v>
      </c>
      <c r="E132" s="3">
        <v>140</v>
      </c>
      <c r="F132" s="3">
        <v>1</v>
      </c>
      <c r="G132" s="3">
        <v>70</v>
      </c>
      <c r="H132" s="4">
        <v>14756</v>
      </c>
      <c r="I132" s="4">
        <v>82988</v>
      </c>
      <c r="K132" s="3">
        <f t="shared" si="3"/>
        <v>279.13591136286004</v>
      </c>
      <c r="L132" s="3">
        <v>171</v>
      </c>
      <c r="M132" s="2">
        <v>17.3</v>
      </c>
    </row>
    <row r="133" spans="1:13" x14ac:dyDescent="0.3">
      <c r="A133" t="s">
        <v>21</v>
      </c>
      <c r="B133" t="s">
        <v>37</v>
      </c>
      <c r="C133" t="str">
        <f t="shared" si="4"/>
        <v>Chambers_1983_planted</v>
      </c>
      <c r="E133" s="3">
        <v>140</v>
      </c>
      <c r="F133" s="3">
        <v>1</v>
      </c>
      <c r="G133" s="3">
        <v>80</v>
      </c>
      <c r="H133" s="4">
        <v>17069</v>
      </c>
      <c r="I133" s="4">
        <v>99358</v>
      </c>
      <c r="K133" s="3">
        <f t="shared" si="3"/>
        <v>297.57166092287997</v>
      </c>
      <c r="L133" s="3">
        <v>148</v>
      </c>
      <c r="M133" s="2">
        <v>19.2</v>
      </c>
    </row>
    <row r="134" spans="1:13" x14ac:dyDescent="0.3">
      <c r="A134" t="s">
        <v>21</v>
      </c>
      <c r="B134" t="s">
        <v>37</v>
      </c>
      <c r="C134" t="str">
        <f t="shared" si="4"/>
        <v>Chambers_1983_planted</v>
      </c>
      <c r="E134" s="3">
        <v>140</v>
      </c>
      <c r="F134" s="3">
        <v>1</v>
      </c>
      <c r="G134" s="3">
        <v>90</v>
      </c>
      <c r="H134" s="4">
        <v>19279</v>
      </c>
      <c r="I134" s="4">
        <v>114815</v>
      </c>
      <c r="K134" s="3">
        <f t="shared" si="3"/>
        <v>313.24346340186003</v>
      </c>
      <c r="L134" s="3">
        <v>129</v>
      </c>
      <c r="M134" s="2">
        <v>21.1</v>
      </c>
    </row>
    <row r="135" spans="1:13" x14ac:dyDescent="0.3">
      <c r="A135" t="s">
        <v>21</v>
      </c>
      <c r="B135" t="s">
        <v>37</v>
      </c>
      <c r="C135" t="str">
        <f t="shared" si="4"/>
        <v>Chambers_1983_planted</v>
      </c>
      <c r="E135" s="3">
        <v>140</v>
      </c>
      <c r="F135" s="3">
        <v>1</v>
      </c>
      <c r="G135" s="3">
        <v>100</v>
      </c>
      <c r="H135" s="4">
        <v>21385</v>
      </c>
      <c r="I135" s="4">
        <v>129320</v>
      </c>
      <c r="K135" s="3">
        <f t="shared" si="3"/>
        <v>326.03296365800003</v>
      </c>
      <c r="L135" s="3">
        <v>113</v>
      </c>
      <c r="M135" s="2">
        <v>23</v>
      </c>
    </row>
    <row r="136" spans="1:13" x14ac:dyDescent="0.3">
      <c r="A136" t="s">
        <v>21</v>
      </c>
      <c r="B136" t="s">
        <v>37</v>
      </c>
      <c r="C136" t="str">
        <f t="shared" si="4"/>
        <v>Chambers_1983_planted</v>
      </c>
      <c r="E136" s="3">
        <v>150</v>
      </c>
      <c r="F136" s="3">
        <v>1</v>
      </c>
      <c r="G136" s="3">
        <v>30</v>
      </c>
      <c r="H136" s="4">
        <v>4949</v>
      </c>
      <c r="I136" s="4">
        <v>18003</v>
      </c>
      <c r="K136" s="3">
        <f t="shared" si="3"/>
        <v>159.80671219999999</v>
      </c>
      <c r="L136" s="3">
        <v>293</v>
      </c>
      <c r="M136" s="2">
        <v>10</v>
      </c>
    </row>
    <row r="137" spans="1:13" x14ac:dyDescent="0.3">
      <c r="A137" t="s">
        <v>21</v>
      </c>
      <c r="B137" t="s">
        <v>37</v>
      </c>
      <c r="C137" t="str">
        <f t="shared" si="4"/>
        <v>Chambers_1983_planted</v>
      </c>
      <c r="E137" s="3">
        <v>150</v>
      </c>
      <c r="F137" s="3">
        <v>1</v>
      </c>
      <c r="G137" s="3">
        <v>40</v>
      </c>
      <c r="H137" s="4">
        <v>7880</v>
      </c>
      <c r="I137" s="4">
        <v>35649</v>
      </c>
      <c r="K137" s="3">
        <f t="shared" ref="K137:K143" si="5">(M137^2)*0.005454154*L137</f>
        <v>206.82255596926001</v>
      </c>
      <c r="L137" s="3">
        <v>259</v>
      </c>
      <c r="M137" s="2">
        <v>12.1</v>
      </c>
    </row>
    <row r="138" spans="1:13" x14ac:dyDescent="0.3">
      <c r="A138" t="s">
        <v>21</v>
      </c>
      <c r="B138" t="s">
        <v>37</v>
      </c>
      <c r="C138" t="str">
        <f t="shared" si="4"/>
        <v>Chambers_1983_planted</v>
      </c>
      <c r="E138" s="3">
        <v>150</v>
      </c>
      <c r="F138" s="3">
        <v>1</v>
      </c>
      <c r="G138" s="3">
        <v>50</v>
      </c>
      <c r="H138" s="4">
        <v>10706</v>
      </c>
      <c r="I138" s="4">
        <v>54666</v>
      </c>
      <c r="K138" s="3">
        <f t="shared" si="5"/>
        <v>239.63921883954001</v>
      </c>
      <c r="L138" s="3">
        <v>221</v>
      </c>
      <c r="M138" s="2">
        <v>14.1</v>
      </c>
    </row>
    <row r="139" spans="1:13" x14ac:dyDescent="0.3">
      <c r="A139" t="s">
        <v>21</v>
      </c>
      <c r="B139" t="s">
        <v>37</v>
      </c>
      <c r="C139" t="str">
        <f t="shared" si="4"/>
        <v>Chambers_1983_planted</v>
      </c>
      <c r="E139" s="3">
        <v>150</v>
      </c>
      <c r="F139" s="3">
        <v>1</v>
      </c>
      <c r="G139" s="3">
        <v>60</v>
      </c>
      <c r="H139" s="4">
        <v>13429</v>
      </c>
      <c r="I139" s="4">
        <v>73812</v>
      </c>
      <c r="K139" s="3">
        <f t="shared" si="5"/>
        <v>264.37522530958006</v>
      </c>
      <c r="L139" s="3">
        <v>187</v>
      </c>
      <c r="M139" s="2">
        <v>16.100000000000001</v>
      </c>
    </row>
    <row r="140" spans="1:13" x14ac:dyDescent="0.3">
      <c r="A140" t="s">
        <v>21</v>
      </c>
      <c r="B140" t="s">
        <v>37</v>
      </c>
      <c r="C140" t="str">
        <f t="shared" si="4"/>
        <v>Chambers_1983_planted</v>
      </c>
      <c r="E140" s="3">
        <v>150</v>
      </c>
      <c r="F140" s="3">
        <v>1</v>
      </c>
      <c r="G140" s="3">
        <v>70</v>
      </c>
      <c r="H140" s="4">
        <v>16068</v>
      </c>
      <c r="I140" s="4">
        <v>92386</v>
      </c>
      <c r="K140" s="3">
        <f t="shared" si="5"/>
        <v>287.25480138263993</v>
      </c>
      <c r="L140" s="3">
        <v>159</v>
      </c>
      <c r="M140" s="2">
        <v>18.2</v>
      </c>
    </row>
    <row r="141" spans="1:13" x14ac:dyDescent="0.3">
      <c r="A141" t="s">
        <v>21</v>
      </c>
      <c r="B141" t="s">
        <v>37</v>
      </c>
      <c r="C141" t="str">
        <f t="shared" si="4"/>
        <v>Chambers_1983_planted</v>
      </c>
      <c r="E141" s="3">
        <v>150</v>
      </c>
      <c r="F141" s="3">
        <v>1</v>
      </c>
      <c r="G141" s="3">
        <v>80</v>
      </c>
      <c r="H141" s="4">
        <v>18563</v>
      </c>
      <c r="I141" s="4">
        <v>110012</v>
      </c>
      <c r="K141" s="3">
        <f t="shared" si="5"/>
        <v>304.89528074791997</v>
      </c>
      <c r="L141" s="3">
        <v>137</v>
      </c>
      <c r="M141" s="2">
        <v>20.2</v>
      </c>
    </row>
    <row r="142" spans="1:13" x14ac:dyDescent="0.3">
      <c r="A142" t="s">
        <v>21</v>
      </c>
      <c r="B142" t="s">
        <v>37</v>
      </c>
      <c r="C142" t="str">
        <f t="shared" si="4"/>
        <v>Chambers_1983_planted</v>
      </c>
      <c r="E142" s="3">
        <v>150</v>
      </c>
      <c r="F142" s="3">
        <v>1</v>
      </c>
      <c r="G142" s="3">
        <v>90</v>
      </c>
      <c r="H142" s="4">
        <v>20975</v>
      </c>
      <c r="I142" s="4">
        <v>126537</v>
      </c>
      <c r="K142" s="3">
        <f t="shared" si="5"/>
        <v>322.76325287654004</v>
      </c>
      <c r="L142" s="3">
        <v>119</v>
      </c>
      <c r="M142" s="2">
        <v>22.3</v>
      </c>
    </row>
    <row r="143" spans="1:13" x14ac:dyDescent="0.3">
      <c r="A143" t="s">
        <v>21</v>
      </c>
      <c r="B143" t="s">
        <v>37</v>
      </c>
      <c r="C143" t="str">
        <f t="shared" si="4"/>
        <v>Chambers_1983_planted</v>
      </c>
      <c r="E143" s="3">
        <v>150</v>
      </c>
      <c r="F143" s="3">
        <v>1</v>
      </c>
      <c r="G143" s="3">
        <v>100</v>
      </c>
      <c r="H143" s="4">
        <v>23283</v>
      </c>
      <c r="I143" s="4">
        <v>141956</v>
      </c>
      <c r="K143" s="3">
        <f t="shared" si="5"/>
        <v>338.16545652330001</v>
      </c>
      <c r="L143" s="3">
        <v>105</v>
      </c>
      <c r="M143" s="2">
        <v>24.3</v>
      </c>
    </row>
    <row r="144" spans="1:13" x14ac:dyDescent="0.3">
      <c r="A144" t="s">
        <v>22</v>
      </c>
      <c r="C144" t="str">
        <f t="shared" si="4"/>
        <v>McArdle_1961</v>
      </c>
      <c r="D144" s="3">
        <v>80</v>
      </c>
      <c r="F144" s="3">
        <v>5</v>
      </c>
      <c r="G144" s="3">
        <v>20</v>
      </c>
      <c r="H144" s="3">
        <v>520</v>
      </c>
      <c r="J144" s="3">
        <v>21</v>
      </c>
      <c r="K144" s="3">
        <v>64</v>
      </c>
      <c r="L144" s="3">
        <v>6920</v>
      </c>
      <c r="M144" s="2">
        <f t="shared" ref="M144:M201" si="6">IF(NOT(OR(ISBLANK(L144),ISBLANK(K144))),SQRT((K144/L144)/0.005454154),"")</f>
        <v>1.3021866589688731</v>
      </c>
    </row>
    <row r="145" spans="1:13" x14ac:dyDescent="0.3">
      <c r="A145" t="s">
        <v>22</v>
      </c>
      <c r="C145" t="str">
        <f t="shared" si="4"/>
        <v>McArdle_1961</v>
      </c>
      <c r="D145" s="3">
        <v>80</v>
      </c>
      <c r="F145" s="3">
        <v>5</v>
      </c>
      <c r="G145" s="3">
        <v>30</v>
      </c>
      <c r="H145" s="3">
        <v>1330</v>
      </c>
      <c r="I145" s="3">
        <v>0</v>
      </c>
      <c r="J145" s="3">
        <v>37</v>
      </c>
      <c r="K145" s="3">
        <v>96</v>
      </c>
      <c r="L145" s="3">
        <v>2700</v>
      </c>
      <c r="M145" s="2">
        <f t="shared" si="6"/>
        <v>2.5532305740845147</v>
      </c>
    </row>
    <row r="146" spans="1:13" x14ac:dyDescent="0.3">
      <c r="A146" t="s">
        <v>22</v>
      </c>
      <c r="C146" t="str">
        <f t="shared" si="4"/>
        <v>McArdle_1961</v>
      </c>
      <c r="D146" s="3">
        <v>80</v>
      </c>
      <c r="F146" s="3">
        <v>5</v>
      </c>
      <c r="G146" s="3">
        <v>40</v>
      </c>
      <c r="H146" s="3">
        <v>2110</v>
      </c>
      <c r="I146" s="3">
        <v>0</v>
      </c>
      <c r="J146" s="3">
        <v>48</v>
      </c>
      <c r="K146" s="3">
        <v>121</v>
      </c>
      <c r="L146" s="3">
        <v>1530</v>
      </c>
      <c r="M146" s="2">
        <f t="shared" si="6"/>
        <v>3.8078801568001155</v>
      </c>
    </row>
    <row r="147" spans="1:13" x14ac:dyDescent="0.3">
      <c r="A147" t="s">
        <v>22</v>
      </c>
      <c r="C147" t="str">
        <f t="shared" si="4"/>
        <v>McArdle_1961</v>
      </c>
      <c r="D147" s="3">
        <v>80</v>
      </c>
      <c r="F147" s="3">
        <v>5</v>
      </c>
      <c r="G147" s="3">
        <v>50</v>
      </c>
      <c r="H147" s="3">
        <v>2840</v>
      </c>
      <c r="I147" s="3">
        <v>30</v>
      </c>
      <c r="J147" s="3">
        <v>56</v>
      </c>
      <c r="K147" s="3">
        <v>140</v>
      </c>
      <c r="L147" s="3">
        <v>1050</v>
      </c>
      <c r="M147" s="2">
        <f t="shared" si="6"/>
        <v>4.9443097462284635</v>
      </c>
    </row>
    <row r="148" spans="1:13" x14ac:dyDescent="0.3">
      <c r="A148" t="s">
        <v>22</v>
      </c>
      <c r="C148" t="str">
        <f t="shared" si="4"/>
        <v>McArdle_1961</v>
      </c>
      <c r="D148" s="3">
        <v>80</v>
      </c>
      <c r="F148" s="3">
        <v>5</v>
      </c>
      <c r="G148" s="3">
        <v>60</v>
      </c>
      <c r="H148" s="3">
        <v>3500</v>
      </c>
      <c r="I148" s="3">
        <v>1100</v>
      </c>
      <c r="J148" s="3">
        <v>63</v>
      </c>
      <c r="K148" s="3">
        <v>154</v>
      </c>
      <c r="L148" s="3">
        <v>780</v>
      </c>
      <c r="M148" s="2">
        <f t="shared" si="6"/>
        <v>6.0165753623635947</v>
      </c>
    </row>
    <row r="149" spans="1:13" x14ac:dyDescent="0.3">
      <c r="A149" t="s">
        <v>22</v>
      </c>
      <c r="C149" t="str">
        <f t="shared" si="4"/>
        <v>McArdle_1961</v>
      </c>
      <c r="D149" s="3">
        <v>80</v>
      </c>
      <c r="F149" s="3">
        <v>5</v>
      </c>
      <c r="G149" s="3">
        <v>70</v>
      </c>
      <c r="H149" s="3">
        <v>4090</v>
      </c>
      <c r="I149" s="3">
        <v>2400</v>
      </c>
      <c r="J149" s="3">
        <v>68</v>
      </c>
      <c r="K149" s="3">
        <v>166</v>
      </c>
      <c r="L149" s="3">
        <v>625</v>
      </c>
      <c r="M149" s="2">
        <f t="shared" si="6"/>
        <v>6.9783112672312306</v>
      </c>
    </row>
    <row r="150" spans="1:13" x14ac:dyDescent="0.3">
      <c r="A150" t="s">
        <v>22</v>
      </c>
      <c r="C150" t="str">
        <f t="shared" si="4"/>
        <v>McArdle_1961</v>
      </c>
      <c r="D150" s="3">
        <v>80</v>
      </c>
      <c r="F150" s="3">
        <v>5</v>
      </c>
      <c r="G150" s="3">
        <v>80</v>
      </c>
      <c r="H150" s="3">
        <v>4580</v>
      </c>
      <c r="I150" s="3">
        <v>4400</v>
      </c>
      <c r="J150" s="3">
        <v>73</v>
      </c>
      <c r="K150" s="3">
        <v>177</v>
      </c>
      <c r="L150" s="3">
        <v>525</v>
      </c>
      <c r="M150" s="2">
        <f t="shared" si="6"/>
        <v>7.8621854462602103</v>
      </c>
    </row>
    <row r="151" spans="1:13" x14ac:dyDescent="0.3">
      <c r="A151" t="s">
        <v>22</v>
      </c>
      <c r="C151" t="str">
        <f t="shared" si="4"/>
        <v>McArdle_1961</v>
      </c>
      <c r="D151" s="3">
        <v>80</v>
      </c>
      <c r="F151" s="3">
        <v>5</v>
      </c>
      <c r="G151" s="3">
        <v>90</v>
      </c>
      <c r="H151" s="3">
        <v>5000</v>
      </c>
      <c r="I151" s="3">
        <v>6900</v>
      </c>
      <c r="J151" s="3">
        <v>77</v>
      </c>
      <c r="K151" s="3">
        <v>185</v>
      </c>
      <c r="L151" s="3">
        <v>451</v>
      </c>
      <c r="M151" s="2">
        <f t="shared" si="6"/>
        <v>8.6722920561175698</v>
      </c>
    </row>
    <row r="152" spans="1:13" x14ac:dyDescent="0.3">
      <c r="A152" t="s">
        <v>22</v>
      </c>
      <c r="C152" t="str">
        <f t="shared" si="4"/>
        <v>McArdle_1961</v>
      </c>
      <c r="D152" s="3">
        <v>80</v>
      </c>
      <c r="F152" s="3">
        <v>5</v>
      </c>
      <c r="G152" s="3">
        <v>100</v>
      </c>
      <c r="H152" s="3">
        <v>5350</v>
      </c>
      <c r="I152" s="3">
        <v>9600</v>
      </c>
      <c r="J152" s="3">
        <v>80</v>
      </c>
      <c r="K152" s="3">
        <v>193</v>
      </c>
      <c r="L152" s="3">
        <v>403</v>
      </c>
      <c r="M152" s="2">
        <f t="shared" si="6"/>
        <v>9.3704928433744019</v>
      </c>
    </row>
    <row r="153" spans="1:13" x14ac:dyDescent="0.3">
      <c r="A153" t="s">
        <v>22</v>
      </c>
      <c r="C153" t="str">
        <f t="shared" si="4"/>
        <v>McArdle_1961</v>
      </c>
      <c r="D153" s="3">
        <v>80</v>
      </c>
      <c r="F153" s="3">
        <v>5</v>
      </c>
      <c r="G153" s="3">
        <v>110</v>
      </c>
      <c r="H153" s="3">
        <v>5840</v>
      </c>
      <c r="I153" s="3">
        <v>12200</v>
      </c>
      <c r="J153" s="3">
        <v>83</v>
      </c>
      <c r="K153" s="3">
        <v>200</v>
      </c>
      <c r="L153" s="3">
        <v>352</v>
      </c>
      <c r="M153" s="2">
        <f t="shared" si="6"/>
        <v>10.206573514047468</v>
      </c>
    </row>
    <row r="154" spans="1:13" x14ac:dyDescent="0.3">
      <c r="A154" t="s">
        <v>22</v>
      </c>
      <c r="C154" t="str">
        <f t="shared" si="4"/>
        <v>McArdle_1961</v>
      </c>
      <c r="D154" s="3">
        <v>80</v>
      </c>
      <c r="F154" s="3">
        <v>5</v>
      </c>
      <c r="G154" s="3">
        <v>120</v>
      </c>
      <c r="H154" s="3">
        <v>5900</v>
      </c>
      <c r="I154" s="3">
        <v>14700</v>
      </c>
      <c r="J154" s="3">
        <v>85</v>
      </c>
      <c r="K154" s="3">
        <v>206</v>
      </c>
      <c r="L154" s="3">
        <v>331</v>
      </c>
      <c r="M154" s="2">
        <f t="shared" si="6"/>
        <v>10.682082189641941</v>
      </c>
    </row>
    <row r="155" spans="1:13" x14ac:dyDescent="0.3">
      <c r="A155" t="s">
        <v>22</v>
      </c>
      <c r="C155" t="str">
        <f t="shared" si="4"/>
        <v>McArdle_1961</v>
      </c>
      <c r="D155" s="3">
        <v>80</v>
      </c>
      <c r="F155" s="3">
        <v>5</v>
      </c>
      <c r="G155" s="3">
        <v>130</v>
      </c>
      <c r="H155" s="3">
        <v>6130</v>
      </c>
      <c r="I155" s="3">
        <v>17000</v>
      </c>
      <c r="J155" s="3">
        <v>87</v>
      </c>
      <c r="K155" s="3">
        <v>213</v>
      </c>
      <c r="L155" s="3">
        <v>305</v>
      </c>
      <c r="M155" s="2">
        <f t="shared" si="6"/>
        <v>11.315563442933765</v>
      </c>
    </row>
    <row r="156" spans="1:13" x14ac:dyDescent="0.3">
      <c r="A156" t="s">
        <v>22</v>
      </c>
      <c r="C156" t="str">
        <f t="shared" si="4"/>
        <v>McArdle_1961</v>
      </c>
      <c r="D156" s="3">
        <v>80</v>
      </c>
      <c r="F156" s="3">
        <v>5</v>
      </c>
      <c r="G156" s="3">
        <v>140</v>
      </c>
      <c r="H156" s="3">
        <v>6340</v>
      </c>
      <c r="I156" s="3">
        <v>19200</v>
      </c>
      <c r="J156" s="3">
        <v>88</v>
      </c>
      <c r="K156" s="3">
        <v>218</v>
      </c>
      <c r="L156" s="3">
        <v>284</v>
      </c>
      <c r="M156" s="2">
        <f t="shared" si="6"/>
        <v>11.86329632999543</v>
      </c>
    </row>
    <row r="157" spans="1:13" x14ac:dyDescent="0.3">
      <c r="A157" t="s">
        <v>22</v>
      </c>
      <c r="C157" t="str">
        <f t="shared" si="4"/>
        <v>McArdle_1961</v>
      </c>
      <c r="D157" s="3">
        <v>80</v>
      </c>
      <c r="F157" s="3">
        <v>5</v>
      </c>
      <c r="G157" s="3">
        <v>150</v>
      </c>
      <c r="H157" s="3">
        <v>6520</v>
      </c>
      <c r="I157" s="3">
        <v>21300</v>
      </c>
      <c r="J157" s="3">
        <v>89</v>
      </c>
      <c r="K157" s="3">
        <v>223</v>
      </c>
      <c r="L157" s="3">
        <v>266</v>
      </c>
      <c r="M157" s="2">
        <f t="shared" si="6"/>
        <v>12.397893891671355</v>
      </c>
    </row>
    <row r="158" spans="1:13" x14ac:dyDescent="0.3">
      <c r="A158" t="s">
        <v>22</v>
      </c>
      <c r="C158" t="str">
        <f t="shared" si="4"/>
        <v>McArdle_1961</v>
      </c>
      <c r="D158" s="3">
        <v>80</v>
      </c>
      <c r="F158" s="3">
        <v>5</v>
      </c>
      <c r="G158" s="3">
        <v>160</v>
      </c>
      <c r="H158" s="3">
        <v>6670</v>
      </c>
      <c r="I158" s="3">
        <v>23300</v>
      </c>
      <c r="J158" s="3">
        <v>90</v>
      </c>
      <c r="K158" s="3">
        <v>227</v>
      </c>
      <c r="L158" s="3">
        <v>250</v>
      </c>
      <c r="M158" s="2">
        <f t="shared" si="6"/>
        <v>12.902659194208184</v>
      </c>
    </row>
    <row r="159" spans="1:13" x14ac:dyDescent="0.3">
      <c r="A159" t="s">
        <v>22</v>
      </c>
      <c r="C159" t="str">
        <f t="shared" si="4"/>
        <v>McArdle_1961</v>
      </c>
      <c r="D159" s="3">
        <v>90</v>
      </c>
      <c r="F159" s="3">
        <v>5</v>
      </c>
      <c r="G159" s="3">
        <v>20</v>
      </c>
      <c r="H159" s="3">
        <v>620</v>
      </c>
      <c r="J159" s="3">
        <v>24</v>
      </c>
      <c r="K159" s="3">
        <v>70</v>
      </c>
      <c r="L159" s="3">
        <v>5500</v>
      </c>
      <c r="M159" s="2">
        <f t="shared" si="6"/>
        <v>1.5275800472994789</v>
      </c>
    </row>
    <row r="160" spans="1:13" x14ac:dyDescent="0.3">
      <c r="A160" t="s">
        <v>22</v>
      </c>
      <c r="C160" t="str">
        <f t="shared" si="4"/>
        <v>McArdle_1961</v>
      </c>
      <c r="D160" s="3">
        <v>90</v>
      </c>
      <c r="F160" s="3">
        <v>5</v>
      </c>
      <c r="G160" s="3">
        <v>30</v>
      </c>
      <c r="H160" s="3">
        <v>1610</v>
      </c>
      <c r="I160" s="3">
        <v>0</v>
      </c>
      <c r="J160" s="3">
        <v>41</v>
      </c>
      <c r="K160" s="3">
        <v>105</v>
      </c>
      <c r="L160" s="3">
        <v>2200</v>
      </c>
      <c r="M160" s="2">
        <f t="shared" si="6"/>
        <v>2.95814604159481</v>
      </c>
    </row>
    <row r="161" spans="1:13" x14ac:dyDescent="0.3">
      <c r="A161" t="s">
        <v>22</v>
      </c>
      <c r="C161" t="str">
        <f t="shared" si="4"/>
        <v>McArdle_1961</v>
      </c>
      <c r="D161" s="3">
        <v>90</v>
      </c>
      <c r="F161" s="3">
        <v>5</v>
      </c>
      <c r="G161" s="3">
        <v>40</v>
      </c>
      <c r="H161" s="3">
        <v>2520</v>
      </c>
      <c r="I161" s="3">
        <v>0</v>
      </c>
      <c r="J161" s="3">
        <v>54</v>
      </c>
      <c r="K161" s="3">
        <v>132</v>
      </c>
      <c r="L161" s="3">
        <v>1275</v>
      </c>
      <c r="M161" s="2">
        <f t="shared" si="6"/>
        <v>4.3568055286074596</v>
      </c>
    </row>
    <row r="162" spans="1:13" x14ac:dyDescent="0.3">
      <c r="A162" t="s">
        <v>22</v>
      </c>
      <c r="C162" t="str">
        <f t="shared" si="4"/>
        <v>McArdle_1961</v>
      </c>
      <c r="D162" s="3">
        <v>90</v>
      </c>
      <c r="F162" s="3">
        <v>5</v>
      </c>
      <c r="G162" s="3">
        <v>50</v>
      </c>
      <c r="H162" s="3">
        <v>3410</v>
      </c>
      <c r="I162" s="3">
        <v>200</v>
      </c>
      <c r="J162" s="3">
        <v>63</v>
      </c>
      <c r="K162" s="3">
        <v>153</v>
      </c>
      <c r="L162" s="3">
        <v>890</v>
      </c>
      <c r="M162" s="2">
        <f t="shared" si="6"/>
        <v>5.6141888064503673</v>
      </c>
    </row>
    <row r="163" spans="1:13" x14ac:dyDescent="0.3">
      <c r="A163" t="s">
        <v>22</v>
      </c>
      <c r="C163" t="str">
        <f t="shared" si="4"/>
        <v>McArdle_1961</v>
      </c>
      <c r="D163" s="3">
        <v>90</v>
      </c>
      <c r="F163" s="3">
        <v>5</v>
      </c>
      <c r="G163" s="3">
        <v>60</v>
      </c>
      <c r="H163" s="3">
        <v>4200</v>
      </c>
      <c r="I163" s="3">
        <v>2600</v>
      </c>
      <c r="J163" s="3">
        <v>70</v>
      </c>
      <c r="K163" s="3">
        <v>169</v>
      </c>
      <c r="L163" s="3">
        <v>670</v>
      </c>
      <c r="M163" s="2">
        <f t="shared" si="6"/>
        <v>6.8005220457509115</v>
      </c>
    </row>
    <row r="164" spans="1:13" x14ac:dyDescent="0.3">
      <c r="A164" t="s">
        <v>22</v>
      </c>
      <c r="C164" t="str">
        <f t="shared" si="4"/>
        <v>McArdle_1961</v>
      </c>
      <c r="D164" s="3">
        <v>90</v>
      </c>
      <c r="F164" s="3">
        <v>5</v>
      </c>
      <c r="G164" s="3">
        <v>70</v>
      </c>
      <c r="H164" s="3">
        <v>4920</v>
      </c>
      <c r="I164" s="3">
        <v>5300</v>
      </c>
      <c r="J164" s="3">
        <v>77</v>
      </c>
      <c r="K164" s="3">
        <v>183</v>
      </c>
      <c r="L164" s="3">
        <v>537</v>
      </c>
      <c r="M164" s="2">
        <f t="shared" si="6"/>
        <v>7.9045054621092818</v>
      </c>
    </row>
    <row r="165" spans="1:13" x14ac:dyDescent="0.3">
      <c r="A165" t="s">
        <v>22</v>
      </c>
      <c r="C165" t="str">
        <f t="shared" si="4"/>
        <v>McArdle_1961</v>
      </c>
      <c r="D165" s="3">
        <v>90</v>
      </c>
      <c r="F165" s="3">
        <v>5</v>
      </c>
      <c r="G165" s="3">
        <v>80</v>
      </c>
      <c r="H165" s="3">
        <v>5510</v>
      </c>
      <c r="I165" s="3">
        <v>8600</v>
      </c>
      <c r="J165" s="3">
        <v>82</v>
      </c>
      <c r="K165" s="3">
        <v>194</v>
      </c>
      <c r="L165" s="3">
        <v>455</v>
      </c>
      <c r="M165" s="2">
        <f t="shared" si="6"/>
        <v>8.8416123226299757</v>
      </c>
    </row>
    <row r="166" spans="1:13" x14ac:dyDescent="0.3">
      <c r="A166" t="s">
        <v>22</v>
      </c>
      <c r="C166" t="str">
        <f t="shared" si="4"/>
        <v>McArdle_1961</v>
      </c>
      <c r="D166" s="3">
        <v>90</v>
      </c>
      <c r="F166" s="3">
        <v>5</v>
      </c>
      <c r="G166" s="3">
        <v>90</v>
      </c>
      <c r="H166" s="3">
        <v>6010</v>
      </c>
      <c r="I166" s="3">
        <v>12000</v>
      </c>
      <c r="J166" s="3">
        <v>86</v>
      </c>
      <c r="K166" s="3">
        <v>204</v>
      </c>
      <c r="L166" s="3">
        <v>398</v>
      </c>
      <c r="M166" s="2">
        <f t="shared" si="6"/>
        <v>9.6941525484748219</v>
      </c>
    </row>
    <row r="167" spans="1:13" x14ac:dyDescent="0.3">
      <c r="A167" t="s">
        <v>22</v>
      </c>
      <c r="C167" t="str">
        <f t="shared" si="4"/>
        <v>McArdle_1961</v>
      </c>
      <c r="D167" s="3">
        <v>90</v>
      </c>
      <c r="F167" s="3">
        <v>5</v>
      </c>
      <c r="G167" s="3">
        <v>100</v>
      </c>
      <c r="H167" s="3">
        <v>6420</v>
      </c>
      <c r="I167" s="3">
        <v>15400</v>
      </c>
      <c r="J167" s="3">
        <v>90</v>
      </c>
      <c r="K167" s="3">
        <v>212</v>
      </c>
      <c r="L167" s="3">
        <v>352</v>
      </c>
      <c r="M167" s="2">
        <f t="shared" si="6"/>
        <v>10.508310590742672</v>
      </c>
    </row>
    <row r="168" spans="1:13" x14ac:dyDescent="0.3">
      <c r="A168" t="s">
        <v>22</v>
      </c>
      <c r="C168" t="str">
        <f t="shared" si="4"/>
        <v>McArdle_1961</v>
      </c>
      <c r="D168" s="3">
        <v>90</v>
      </c>
      <c r="F168" s="3">
        <v>5</v>
      </c>
      <c r="G168" s="3">
        <v>110</v>
      </c>
      <c r="H168" s="3">
        <v>6780</v>
      </c>
      <c r="I168" s="3">
        <v>18900</v>
      </c>
      <c r="J168" s="3">
        <v>93</v>
      </c>
      <c r="K168" s="3">
        <v>220</v>
      </c>
      <c r="L168" s="3">
        <v>319</v>
      </c>
      <c r="M168" s="2">
        <f t="shared" si="6"/>
        <v>11.244814636391709</v>
      </c>
    </row>
    <row r="169" spans="1:13" x14ac:dyDescent="0.3">
      <c r="A169" t="s">
        <v>22</v>
      </c>
      <c r="C169" t="str">
        <f t="shared" si="4"/>
        <v>McArdle_1961</v>
      </c>
      <c r="D169" s="3">
        <v>90</v>
      </c>
      <c r="F169" s="3">
        <v>5</v>
      </c>
      <c r="G169" s="3">
        <v>120</v>
      </c>
      <c r="H169" s="3">
        <v>7080</v>
      </c>
      <c r="I169" s="3">
        <v>21800</v>
      </c>
      <c r="J169" s="3">
        <v>96</v>
      </c>
      <c r="K169" s="3">
        <v>226</v>
      </c>
      <c r="L169" s="3">
        <v>292</v>
      </c>
      <c r="M169" s="2">
        <f t="shared" si="6"/>
        <v>11.912395276742373</v>
      </c>
    </row>
    <row r="170" spans="1:13" x14ac:dyDescent="0.3">
      <c r="A170" t="s">
        <v>22</v>
      </c>
      <c r="C170" t="str">
        <f t="shared" si="4"/>
        <v>McArdle_1961</v>
      </c>
      <c r="D170" s="3">
        <v>90</v>
      </c>
      <c r="F170" s="3">
        <v>5</v>
      </c>
      <c r="G170" s="3">
        <v>130</v>
      </c>
      <c r="H170" s="3">
        <v>7340</v>
      </c>
      <c r="I170" s="3">
        <v>24600</v>
      </c>
      <c r="J170" s="3">
        <v>98</v>
      </c>
      <c r="K170" s="3">
        <v>233</v>
      </c>
      <c r="L170" s="3">
        <v>271</v>
      </c>
      <c r="M170" s="2">
        <f t="shared" si="6"/>
        <v>12.555372928381688</v>
      </c>
    </row>
    <row r="171" spans="1:13" x14ac:dyDescent="0.3">
      <c r="A171" t="s">
        <v>22</v>
      </c>
      <c r="C171" t="str">
        <f t="shared" si="4"/>
        <v>McArdle_1961</v>
      </c>
      <c r="D171" s="3">
        <v>90</v>
      </c>
      <c r="F171" s="3">
        <v>5</v>
      </c>
      <c r="G171" s="3">
        <v>140</v>
      </c>
      <c r="H171" s="3">
        <v>7600</v>
      </c>
      <c r="I171" s="3">
        <v>27200</v>
      </c>
      <c r="J171" s="3">
        <v>99</v>
      </c>
      <c r="K171" s="3">
        <v>238</v>
      </c>
      <c r="L171" s="3">
        <v>252</v>
      </c>
      <c r="M171" s="2">
        <f t="shared" si="6"/>
        <v>13.159049179383588</v>
      </c>
    </row>
    <row r="172" spans="1:13" x14ac:dyDescent="0.3">
      <c r="A172" t="s">
        <v>22</v>
      </c>
      <c r="C172" t="str">
        <f t="shared" si="4"/>
        <v>McArdle_1961</v>
      </c>
      <c r="D172" s="3">
        <v>90</v>
      </c>
      <c r="F172" s="3">
        <v>5</v>
      </c>
      <c r="G172" s="3">
        <v>150</v>
      </c>
      <c r="H172" s="3">
        <v>7810</v>
      </c>
      <c r="I172" s="3">
        <v>29600</v>
      </c>
      <c r="J172" s="3">
        <v>101</v>
      </c>
      <c r="K172" s="3">
        <v>243</v>
      </c>
      <c r="L172" s="3">
        <v>238</v>
      </c>
      <c r="M172" s="2">
        <f t="shared" si="6"/>
        <v>13.682043288492766</v>
      </c>
    </row>
    <row r="173" spans="1:13" x14ac:dyDescent="0.3">
      <c r="A173" t="s">
        <v>22</v>
      </c>
      <c r="C173" t="str">
        <f t="shared" si="4"/>
        <v>McArdle_1961</v>
      </c>
      <c r="D173" s="3">
        <v>90</v>
      </c>
      <c r="F173" s="3">
        <v>5</v>
      </c>
      <c r="G173" s="3">
        <v>160</v>
      </c>
      <c r="H173" s="3">
        <v>8000</v>
      </c>
      <c r="I173" s="3">
        <v>31900</v>
      </c>
      <c r="J173" s="3">
        <v>102</v>
      </c>
      <c r="K173" s="3">
        <v>248</v>
      </c>
      <c r="L173" s="3">
        <v>225</v>
      </c>
      <c r="M173" s="2">
        <f t="shared" si="6"/>
        <v>14.215786200475797</v>
      </c>
    </row>
    <row r="174" spans="1:13" x14ac:dyDescent="0.3">
      <c r="A174" t="s">
        <v>22</v>
      </c>
      <c r="C174" t="str">
        <f t="shared" si="4"/>
        <v>McArdle_1961</v>
      </c>
      <c r="D174" s="3">
        <v>100</v>
      </c>
      <c r="F174" s="3">
        <v>4</v>
      </c>
      <c r="G174" s="3">
        <v>20</v>
      </c>
      <c r="H174" s="3">
        <v>730</v>
      </c>
      <c r="J174" s="3">
        <v>26</v>
      </c>
      <c r="K174" s="3">
        <v>76</v>
      </c>
      <c r="L174" s="3">
        <v>4150</v>
      </c>
      <c r="M174" s="2">
        <f t="shared" si="6"/>
        <v>1.8323947958091682</v>
      </c>
    </row>
    <row r="175" spans="1:13" x14ac:dyDescent="0.3">
      <c r="A175" t="s">
        <v>22</v>
      </c>
      <c r="C175" t="str">
        <f t="shared" si="4"/>
        <v>McArdle_1961</v>
      </c>
      <c r="D175" s="3">
        <v>100</v>
      </c>
      <c r="F175" s="3">
        <v>4</v>
      </c>
      <c r="G175" s="3">
        <v>30</v>
      </c>
      <c r="H175" s="3">
        <v>1930</v>
      </c>
      <c r="I175" s="3">
        <v>0</v>
      </c>
      <c r="J175" s="3">
        <v>46</v>
      </c>
      <c r="K175" s="3">
        <v>114</v>
      </c>
      <c r="L175" s="3">
        <v>1800</v>
      </c>
      <c r="M175" s="2">
        <f t="shared" si="6"/>
        <v>3.4076303293723988</v>
      </c>
    </row>
    <row r="176" spans="1:13" x14ac:dyDescent="0.3">
      <c r="A176" t="s">
        <v>22</v>
      </c>
      <c r="C176" t="str">
        <f t="shared" si="4"/>
        <v>McArdle_1961</v>
      </c>
      <c r="D176" s="3">
        <v>100</v>
      </c>
      <c r="F176" s="3">
        <v>4</v>
      </c>
      <c r="G176" s="3">
        <v>40</v>
      </c>
      <c r="H176" s="3">
        <v>3020</v>
      </c>
      <c r="I176" s="3">
        <v>0</v>
      </c>
      <c r="J176" s="3">
        <v>60</v>
      </c>
      <c r="K176" s="3">
        <v>143</v>
      </c>
      <c r="L176" s="3">
        <v>1090</v>
      </c>
      <c r="M176" s="2">
        <f t="shared" si="6"/>
        <v>4.90445858606844</v>
      </c>
    </row>
    <row r="177" spans="1:13" x14ac:dyDescent="0.3">
      <c r="A177" t="s">
        <v>22</v>
      </c>
      <c r="C177" t="str">
        <f t="shared" si="4"/>
        <v>McArdle_1961</v>
      </c>
      <c r="D177" s="3">
        <v>100</v>
      </c>
      <c r="F177" s="3">
        <v>4</v>
      </c>
      <c r="G177" s="3">
        <v>50</v>
      </c>
      <c r="H177" s="3">
        <v>4080</v>
      </c>
      <c r="I177" s="3">
        <v>1600</v>
      </c>
      <c r="J177" s="3">
        <v>70</v>
      </c>
      <c r="K177" s="3">
        <v>165</v>
      </c>
      <c r="L177" s="3">
        <v>764</v>
      </c>
      <c r="M177" s="2">
        <f t="shared" si="6"/>
        <v>6.2926212811771398</v>
      </c>
    </row>
    <row r="178" spans="1:13" x14ac:dyDescent="0.3">
      <c r="A178" t="s">
        <v>22</v>
      </c>
      <c r="C178" t="str">
        <f t="shared" si="4"/>
        <v>McArdle_1961</v>
      </c>
      <c r="D178" s="3">
        <v>100</v>
      </c>
      <c r="F178" s="3">
        <v>4</v>
      </c>
      <c r="G178" s="3">
        <v>60</v>
      </c>
      <c r="H178" s="3">
        <v>5010</v>
      </c>
      <c r="I178" s="3">
        <v>4800</v>
      </c>
      <c r="J178" s="3">
        <v>78</v>
      </c>
      <c r="K178" s="3">
        <v>182</v>
      </c>
      <c r="L178" s="3">
        <v>580</v>
      </c>
      <c r="M178" s="2">
        <f t="shared" si="6"/>
        <v>7.5850421603375535</v>
      </c>
    </row>
    <row r="179" spans="1:13" x14ac:dyDescent="0.3">
      <c r="A179" t="s">
        <v>22</v>
      </c>
      <c r="C179" t="str">
        <f t="shared" si="4"/>
        <v>McArdle_1961</v>
      </c>
      <c r="D179" s="3">
        <v>100</v>
      </c>
      <c r="F179" s="3">
        <v>4</v>
      </c>
      <c r="G179" s="3">
        <v>70</v>
      </c>
      <c r="H179" s="3">
        <v>5820</v>
      </c>
      <c r="I179" s="3">
        <v>9000</v>
      </c>
      <c r="J179" s="3">
        <v>85</v>
      </c>
      <c r="K179" s="3">
        <v>197</v>
      </c>
      <c r="L179" s="3">
        <v>468</v>
      </c>
      <c r="M179" s="2">
        <f t="shared" si="6"/>
        <v>8.7850955301144715</v>
      </c>
    </row>
    <row r="180" spans="1:13" x14ac:dyDescent="0.3">
      <c r="A180" t="s">
        <v>22</v>
      </c>
      <c r="C180" t="str">
        <f t="shared" si="4"/>
        <v>McArdle_1961</v>
      </c>
      <c r="D180" s="3">
        <v>100</v>
      </c>
      <c r="F180" s="3">
        <v>4</v>
      </c>
      <c r="G180" s="3">
        <v>80</v>
      </c>
      <c r="H180" s="3">
        <v>6530</v>
      </c>
      <c r="I180" s="3">
        <v>13900</v>
      </c>
      <c r="J180" s="3">
        <v>91</v>
      </c>
      <c r="K180" s="3">
        <v>210</v>
      </c>
      <c r="L180" s="3">
        <v>394</v>
      </c>
      <c r="M180" s="2">
        <f t="shared" si="6"/>
        <v>9.8854817422613355</v>
      </c>
    </row>
    <row r="181" spans="1:13" x14ac:dyDescent="0.3">
      <c r="A181" t="s">
        <v>22</v>
      </c>
      <c r="C181" t="str">
        <f t="shared" si="4"/>
        <v>McArdle_1961</v>
      </c>
      <c r="D181" s="3">
        <v>100</v>
      </c>
      <c r="F181" s="3">
        <v>4</v>
      </c>
      <c r="G181" s="3">
        <v>90</v>
      </c>
      <c r="H181" s="3">
        <v>7120</v>
      </c>
      <c r="I181" s="3">
        <v>18600</v>
      </c>
      <c r="J181" s="3">
        <v>96</v>
      </c>
      <c r="K181" s="3">
        <v>220</v>
      </c>
      <c r="L181" s="3">
        <v>347</v>
      </c>
      <c r="M181" s="2">
        <f t="shared" si="6"/>
        <v>10.781592292561989</v>
      </c>
    </row>
    <row r="182" spans="1:13" x14ac:dyDescent="0.3">
      <c r="A182" t="s">
        <v>22</v>
      </c>
      <c r="C182" t="str">
        <f t="shared" si="4"/>
        <v>McArdle_1961</v>
      </c>
      <c r="D182" s="3">
        <v>100</v>
      </c>
      <c r="F182" s="3">
        <v>4</v>
      </c>
      <c r="G182" s="3">
        <v>100</v>
      </c>
      <c r="H182" s="3">
        <v>7620</v>
      </c>
      <c r="I182" s="3">
        <v>22800</v>
      </c>
      <c r="J182" s="3">
        <v>100</v>
      </c>
      <c r="K182" s="3">
        <v>229</v>
      </c>
      <c r="L182" s="3">
        <v>311</v>
      </c>
      <c r="M182" s="2">
        <f t="shared" si="6"/>
        <v>11.619136360071087</v>
      </c>
    </row>
    <row r="183" spans="1:13" x14ac:dyDescent="0.3">
      <c r="A183" t="s">
        <v>22</v>
      </c>
      <c r="C183" t="str">
        <f t="shared" si="4"/>
        <v>McArdle_1961</v>
      </c>
      <c r="D183" s="3">
        <v>100</v>
      </c>
      <c r="F183" s="3">
        <v>4</v>
      </c>
      <c r="G183" s="3">
        <v>110</v>
      </c>
      <c r="H183" s="3">
        <v>8050</v>
      </c>
      <c r="I183" s="3">
        <v>26700</v>
      </c>
      <c r="J183" s="3">
        <v>104</v>
      </c>
      <c r="K183" s="3">
        <v>238</v>
      </c>
      <c r="L183" s="3">
        <v>281</v>
      </c>
      <c r="M183" s="2">
        <f t="shared" si="6"/>
        <v>12.461537262716451</v>
      </c>
    </row>
    <row r="184" spans="1:13" x14ac:dyDescent="0.3">
      <c r="A184" t="s">
        <v>22</v>
      </c>
      <c r="C184" t="str">
        <f t="shared" si="4"/>
        <v>McArdle_1961</v>
      </c>
      <c r="D184" s="3">
        <v>100</v>
      </c>
      <c r="F184" s="3">
        <v>4</v>
      </c>
      <c r="G184" s="3">
        <v>120</v>
      </c>
      <c r="H184" s="3">
        <v>8410</v>
      </c>
      <c r="I184" s="3">
        <v>30400</v>
      </c>
      <c r="J184" s="3">
        <v>106</v>
      </c>
      <c r="K184" s="3">
        <v>245</v>
      </c>
      <c r="L184" s="3">
        <v>259</v>
      </c>
      <c r="M184" s="2">
        <f t="shared" si="6"/>
        <v>13.169505318641168</v>
      </c>
    </row>
    <row r="185" spans="1:13" x14ac:dyDescent="0.3">
      <c r="A185" t="s">
        <v>22</v>
      </c>
      <c r="C185" t="str">
        <f t="shared" si="4"/>
        <v>McArdle_1961</v>
      </c>
      <c r="D185" s="3">
        <v>100</v>
      </c>
      <c r="F185" s="3">
        <v>4</v>
      </c>
      <c r="G185" s="3">
        <v>130</v>
      </c>
      <c r="H185" s="3">
        <v>8720</v>
      </c>
      <c r="I185" s="3">
        <v>33800</v>
      </c>
      <c r="J185" s="3">
        <v>109</v>
      </c>
      <c r="K185" s="3">
        <v>251</v>
      </c>
      <c r="L185" s="3">
        <v>240</v>
      </c>
      <c r="M185" s="2">
        <f t="shared" si="6"/>
        <v>13.847377815322444</v>
      </c>
    </row>
    <row r="186" spans="1:13" x14ac:dyDescent="0.3">
      <c r="A186" t="s">
        <v>22</v>
      </c>
      <c r="C186" t="str">
        <f t="shared" si="4"/>
        <v>McArdle_1961</v>
      </c>
      <c r="D186" s="3">
        <v>100</v>
      </c>
      <c r="F186" s="3">
        <v>4</v>
      </c>
      <c r="G186" s="3">
        <v>140</v>
      </c>
      <c r="H186" s="3">
        <v>9020</v>
      </c>
      <c r="I186" s="3">
        <v>36800</v>
      </c>
      <c r="J186" s="3">
        <v>110</v>
      </c>
      <c r="K186" s="3">
        <v>257</v>
      </c>
      <c r="L186" s="3">
        <v>224</v>
      </c>
      <c r="M186" s="2">
        <f t="shared" si="6"/>
        <v>14.503701546543004</v>
      </c>
    </row>
    <row r="187" spans="1:13" x14ac:dyDescent="0.3">
      <c r="A187" t="s">
        <v>22</v>
      </c>
      <c r="C187" t="str">
        <f t="shared" si="4"/>
        <v>McArdle_1961</v>
      </c>
      <c r="D187" s="3">
        <v>100</v>
      </c>
      <c r="F187" s="3">
        <v>4</v>
      </c>
      <c r="G187" s="3">
        <v>150</v>
      </c>
      <c r="H187" s="3">
        <v>9280</v>
      </c>
      <c r="I187" s="3">
        <v>39700</v>
      </c>
      <c r="J187" s="3">
        <v>112</v>
      </c>
      <c r="K187" s="3">
        <v>263</v>
      </c>
      <c r="L187" s="3">
        <v>211</v>
      </c>
      <c r="M187" s="2">
        <f t="shared" si="6"/>
        <v>15.117255334098679</v>
      </c>
    </row>
    <row r="188" spans="1:13" x14ac:dyDescent="0.3">
      <c r="A188" t="s">
        <v>22</v>
      </c>
      <c r="C188" t="str">
        <f t="shared" si="4"/>
        <v>McArdle_1961</v>
      </c>
      <c r="D188" s="3">
        <v>100</v>
      </c>
      <c r="F188" s="3">
        <v>4</v>
      </c>
      <c r="G188" s="3">
        <v>160</v>
      </c>
      <c r="H188" s="3">
        <v>9500</v>
      </c>
      <c r="I188" s="3">
        <v>42200</v>
      </c>
      <c r="J188" s="3">
        <v>113</v>
      </c>
      <c r="K188" s="3">
        <v>268</v>
      </c>
      <c r="L188" s="3">
        <v>200</v>
      </c>
      <c r="M188" s="2">
        <f t="shared" si="6"/>
        <v>15.674319717609126</v>
      </c>
    </row>
    <row r="189" spans="1:13" x14ac:dyDescent="0.3">
      <c r="A189" t="s">
        <v>22</v>
      </c>
      <c r="C189" t="str">
        <f t="shared" si="4"/>
        <v>McArdle_1961</v>
      </c>
      <c r="D189" s="3">
        <v>110</v>
      </c>
      <c r="F189" s="3">
        <v>4</v>
      </c>
      <c r="G189" s="3">
        <v>20</v>
      </c>
      <c r="H189" s="3">
        <v>870</v>
      </c>
      <c r="J189" s="3">
        <v>29</v>
      </c>
      <c r="K189" s="3">
        <v>81</v>
      </c>
      <c r="L189" s="3">
        <v>3069</v>
      </c>
      <c r="M189" s="2">
        <f t="shared" si="6"/>
        <v>2.1997856623787722</v>
      </c>
    </row>
    <row r="190" spans="1:13" x14ac:dyDescent="0.3">
      <c r="A190" t="s">
        <v>22</v>
      </c>
      <c r="C190" t="str">
        <f t="shared" si="4"/>
        <v>McArdle_1961</v>
      </c>
      <c r="D190" s="3">
        <v>110</v>
      </c>
      <c r="F190" s="3">
        <v>4</v>
      </c>
      <c r="G190" s="3">
        <v>30</v>
      </c>
      <c r="H190" s="3">
        <v>2270</v>
      </c>
      <c r="I190" s="3">
        <v>0</v>
      </c>
      <c r="J190" s="3">
        <v>50</v>
      </c>
      <c r="K190" s="3">
        <v>122</v>
      </c>
      <c r="L190" s="3">
        <v>1472</v>
      </c>
      <c r="M190" s="2">
        <f t="shared" si="6"/>
        <v>3.8981837990755861</v>
      </c>
    </row>
    <row r="191" spans="1:13" x14ac:dyDescent="0.3">
      <c r="A191" t="s">
        <v>22</v>
      </c>
      <c r="C191" t="str">
        <f t="shared" si="4"/>
        <v>McArdle_1961</v>
      </c>
      <c r="D191" s="3">
        <v>110</v>
      </c>
      <c r="F191" s="3">
        <v>4</v>
      </c>
      <c r="G191" s="3">
        <v>40</v>
      </c>
      <c r="H191" s="3">
        <v>3580</v>
      </c>
      <c r="I191" s="3">
        <v>200</v>
      </c>
      <c r="J191" s="3">
        <v>68</v>
      </c>
      <c r="K191" s="3">
        <v>153</v>
      </c>
      <c r="L191" s="3">
        <v>927</v>
      </c>
      <c r="M191" s="2">
        <f t="shared" si="6"/>
        <v>5.5010063999781398</v>
      </c>
    </row>
    <row r="192" spans="1:13" x14ac:dyDescent="0.3">
      <c r="A192" t="s">
        <v>22</v>
      </c>
      <c r="C192" t="str">
        <f t="shared" si="4"/>
        <v>McArdle_1961</v>
      </c>
      <c r="D192" s="3">
        <v>110</v>
      </c>
      <c r="F192" s="3">
        <v>4</v>
      </c>
      <c r="G192" s="3">
        <v>50</v>
      </c>
      <c r="H192" s="3">
        <v>4780</v>
      </c>
      <c r="I192" s="3">
        <v>3300</v>
      </c>
      <c r="J192" s="3">
        <v>77</v>
      </c>
      <c r="K192" s="3">
        <v>177</v>
      </c>
      <c r="L192" s="3">
        <v>659</v>
      </c>
      <c r="M192" s="2">
        <f t="shared" si="6"/>
        <v>7.0174645559740023</v>
      </c>
    </row>
    <row r="193" spans="1:13" x14ac:dyDescent="0.3">
      <c r="A193" t="s">
        <v>22</v>
      </c>
      <c r="C193" t="str">
        <f t="shared" si="4"/>
        <v>McArdle_1961</v>
      </c>
      <c r="D193" s="3">
        <v>110</v>
      </c>
      <c r="F193" s="3">
        <v>4</v>
      </c>
      <c r="G193" s="3">
        <v>60</v>
      </c>
      <c r="H193" s="3">
        <v>5880</v>
      </c>
      <c r="I193" s="3">
        <v>8100</v>
      </c>
      <c r="J193" s="3">
        <v>86</v>
      </c>
      <c r="K193" s="3">
        <v>195</v>
      </c>
      <c r="L193" s="3">
        <v>500</v>
      </c>
      <c r="M193" s="2">
        <f t="shared" si="6"/>
        <v>8.4560707000917734</v>
      </c>
    </row>
    <row r="194" spans="1:13" x14ac:dyDescent="0.3">
      <c r="A194" t="s">
        <v>22</v>
      </c>
      <c r="C194" t="str">
        <f t="shared" si="4"/>
        <v>McArdle_1961</v>
      </c>
      <c r="D194" s="3">
        <v>110</v>
      </c>
      <c r="F194" s="3">
        <v>4</v>
      </c>
      <c r="G194" s="3">
        <v>70</v>
      </c>
      <c r="H194" s="3">
        <v>6830</v>
      </c>
      <c r="I194" s="3">
        <v>14000</v>
      </c>
      <c r="J194" s="3">
        <v>94</v>
      </c>
      <c r="K194" s="3">
        <v>211</v>
      </c>
      <c r="L194" s="3">
        <v>405</v>
      </c>
      <c r="M194" s="2">
        <f t="shared" si="6"/>
        <v>9.7734977635696989</v>
      </c>
    </row>
    <row r="195" spans="1:13" x14ac:dyDescent="0.3">
      <c r="A195" t="s">
        <v>22</v>
      </c>
      <c r="C195" t="str">
        <f t="shared" ref="C195:C258" si="7">IF(ISBLANK(B195),A195,A195&amp;"_"&amp;B195)</f>
        <v>McArdle_1961</v>
      </c>
      <c r="D195" s="3">
        <v>110</v>
      </c>
      <c r="F195" s="3">
        <v>4</v>
      </c>
      <c r="G195" s="3">
        <v>80</v>
      </c>
      <c r="H195" s="3">
        <v>7690</v>
      </c>
      <c r="I195" s="3">
        <v>20100</v>
      </c>
      <c r="J195" s="3">
        <v>100</v>
      </c>
      <c r="K195" s="3">
        <v>224</v>
      </c>
      <c r="L195" s="3">
        <v>345</v>
      </c>
      <c r="M195" s="2">
        <f t="shared" si="6"/>
        <v>10.910653495481766</v>
      </c>
    </row>
    <row r="196" spans="1:13" x14ac:dyDescent="0.3">
      <c r="A196" t="s">
        <v>22</v>
      </c>
      <c r="C196" t="str">
        <f t="shared" si="7"/>
        <v>McArdle_1961</v>
      </c>
      <c r="D196" s="3">
        <v>110</v>
      </c>
      <c r="F196" s="3">
        <v>4</v>
      </c>
      <c r="G196" s="3">
        <v>90</v>
      </c>
      <c r="H196" s="3">
        <v>8400</v>
      </c>
      <c r="I196" s="3">
        <v>26000</v>
      </c>
      <c r="J196" s="3">
        <v>105</v>
      </c>
      <c r="K196" s="3">
        <v>235</v>
      </c>
      <c r="L196" s="3">
        <v>304</v>
      </c>
      <c r="M196" s="2">
        <f t="shared" si="6"/>
        <v>11.905110786425849</v>
      </c>
    </row>
    <row r="197" spans="1:13" x14ac:dyDescent="0.3">
      <c r="A197" t="s">
        <v>22</v>
      </c>
      <c r="C197" t="str">
        <f t="shared" si="7"/>
        <v>McArdle_1961</v>
      </c>
      <c r="D197" s="3">
        <v>110</v>
      </c>
      <c r="F197" s="3">
        <v>4</v>
      </c>
      <c r="G197" s="3">
        <v>100</v>
      </c>
      <c r="H197" s="3">
        <v>9000</v>
      </c>
      <c r="I197" s="3">
        <v>31400</v>
      </c>
      <c r="J197" s="3">
        <v>110</v>
      </c>
      <c r="K197" s="3">
        <v>245</v>
      </c>
      <c r="L197" s="3">
        <v>271</v>
      </c>
      <c r="M197" s="2">
        <f t="shared" si="6"/>
        <v>12.874628274283978</v>
      </c>
    </row>
    <row r="198" spans="1:13" x14ac:dyDescent="0.3">
      <c r="A198" t="s">
        <v>22</v>
      </c>
      <c r="C198" t="str">
        <f t="shared" si="7"/>
        <v>McArdle_1961</v>
      </c>
      <c r="D198" s="3">
        <v>110</v>
      </c>
      <c r="F198" s="3">
        <v>4</v>
      </c>
      <c r="G198" s="3">
        <v>110</v>
      </c>
      <c r="H198" s="3">
        <v>9500</v>
      </c>
      <c r="I198" s="3">
        <v>36300</v>
      </c>
      <c r="J198" s="3">
        <v>114</v>
      </c>
      <c r="K198" s="3">
        <v>254</v>
      </c>
      <c r="L198" s="3">
        <v>247</v>
      </c>
      <c r="M198" s="2">
        <f t="shared" si="6"/>
        <v>13.731079561157944</v>
      </c>
    </row>
    <row r="199" spans="1:13" x14ac:dyDescent="0.3">
      <c r="A199" t="s">
        <v>22</v>
      </c>
      <c r="C199" t="str">
        <f t="shared" si="7"/>
        <v>McArdle_1961</v>
      </c>
      <c r="D199" s="3">
        <v>110</v>
      </c>
      <c r="F199" s="3">
        <v>4</v>
      </c>
      <c r="G199" s="3">
        <v>120</v>
      </c>
      <c r="H199" s="3">
        <v>9920</v>
      </c>
      <c r="I199" s="3">
        <v>40700</v>
      </c>
      <c r="J199" s="3">
        <v>117</v>
      </c>
      <c r="K199" s="3">
        <v>261</v>
      </c>
      <c r="L199" s="3">
        <v>224</v>
      </c>
      <c r="M199" s="2">
        <f t="shared" si="6"/>
        <v>14.616135024084278</v>
      </c>
    </row>
    <row r="200" spans="1:13" x14ac:dyDescent="0.3">
      <c r="A200" t="s">
        <v>22</v>
      </c>
      <c r="C200" t="str">
        <f t="shared" si="7"/>
        <v>McArdle_1961</v>
      </c>
      <c r="D200" s="3">
        <v>110</v>
      </c>
      <c r="F200" s="3">
        <v>4</v>
      </c>
      <c r="G200" s="3">
        <v>130</v>
      </c>
      <c r="H200" s="3">
        <v>10290</v>
      </c>
      <c r="I200" s="3">
        <v>44700</v>
      </c>
      <c r="J200" s="3">
        <v>119</v>
      </c>
      <c r="K200" s="3">
        <v>268</v>
      </c>
      <c r="L200" s="3">
        <v>209</v>
      </c>
      <c r="M200" s="2">
        <f t="shared" si="6"/>
        <v>15.333120751208131</v>
      </c>
    </row>
    <row r="201" spans="1:13" x14ac:dyDescent="0.3">
      <c r="A201" t="s">
        <v>22</v>
      </c>
      <c r="C201" t="str">
        <f t="shared" si="7"/>
        <v>McArdle_1961</v>
      </c>
      <c r="D201" s="3">
        <v>110</v>
      </c>
      <c r="F201" s="3">
        <v>4</v>
      </c>
      <c r="G201" s="3">
        <v>140</v>
      </c>
      <c r="H201" s="3">
        <v>10620</v>
      </c>
      <c r="I201" s="3">
        <v>48300</v>
      </c>
      <c r="J201" s="3">
        <v>121</v>
      </c>
      <c r="K201" s="3">
        <v>275</v>
      </c>
      <c r="L201" s="3">
        <v>195</v>
      </c>
      <c r="M201" s="2">
        <f t="shared" si="6"/>
        <v>16.079974034049894</v>
      </c>
    </row>
    <row r="202" spans="1:13" x14ac:dyDescent="0.3">
      <c r="A202" t="s">
        <v>22</v>
      </c>
      <c r="C202" t="str">
        <f t="shared" si="7"/>
        <v>McArdle_1961</v>
      </c>
      <c r="D202" s="3">
        <v>110</v>
      </c>
      <c r="F202" s="3">
        <v>4</v>
      </c>
      <c r="G202" s="3">
        <v>150</v>
      </c>
      <c r="H202" s="3">
        <v>10920</v>
      </c>
      <c r="I202" s="3">
        <v>51600</v>
      </c>
      <c r="J202" s="3">
        <v>123</v>
      </c>
      <c r="K202" s="3">
        <v>281</v>
      </c>
      <c r="L202" s="3">
        <v>184</v>
      </c>
      <c r="M202" s="2">
        <f t="shared" ref="M202:M265" si="8">IF(NOT(OR(ISBLANK(L202),ISBLANK(K202))),SQRT((K202/L202)/0.005454154),"")</f>
        <v>16.73325966052802</v>
      </c>
    </row>
    <row r="203" spans="1:13" x14ac:dyDescent="0.3">
      <c r="A203" t="s">
        <v>22</v>
      </c>
      <c r="C203" t="str">
        <f t="shared" si="7"/>
        <v>McArdle_1961</v>
      </c>
      <c r="D203" s="3">
        <v>110</v>
      </c>
      <c r="F203" s="3">
        <v>4</v>
      </c>
      <c r="G203" s="3">
        <v>160</v>
      </c>
      <c r="H203" s="3">
        <v>11200</v>
      </c>
      <c r="I203" s="3">
        <v>54600</v>
      </c>
      <c r="J203" s="3">
        <v>124</v>
      </c>
      <c r="K203" s="3">
        <v>287</v>
      </c>
      <c r="L203" s="3">
        <v>175</v>
      </c>
      <c r="M203" s="2">
        <f t="shared" si="8"/>
        <v>17.340364646102234</v>
      </c>
    </row>
    <row r="204" spans="1:13" x14ac:dyDescent="0.3">
      <c r="A204" t="s">
        <v>22</v>
      </c>
      <c r="C204" t="str">
        <f t="shared" si="7"/>
        <v>McArdle_1961</v>
      </c>
      <c r="D204" s="3">
        <v>120</v>
      </c>
      <c r="F204" s="3">
        <v>4</v>
      </c>
      <c r="G204" s="3">
        <v>20</v>
      </c>
      <c r="H204" s="3">
        <v>990</v>
      </c>
      <c r="J204" s="3">
        <v>31</v>
      </c>
      <c r="K204" s="3">
        <v>86</v>
      </c>
      <c r="L204" s="3">
        <v>2324</v>
      </c>
      <c r="M204" s="2">
        <f t="shared" si="8"/>
        <v>2.6047585103336126</v>
      </c>
    </row>
    <row r="205" spans="1:13" x14ac:dyDescent="0.3">
      <c r="A205" t="s">
        <v>22</v>
      </c>
      <c r="C205" t="str">
        <f t="shared" si="7"/>
        <v>McArdle_1961</v>
      </c>
      <c r="D205" s="3">
        <v>120</v>
      </c>
      <c r="F205" s="3">
        <v>4</v>
      </c>
      <c r="G205" s="3">
        <v>30</v>
      </c>
      <c r="H205" s="3">
        <v>2630</v>
      </c>
      <c r="I205" s="3">
        <v>0</v>
      </c>
      <c r="J205" s="3">
        <v>55</v>
      </c>
      <c r="K205" s="3">
        <v>129</v>
      </c>
      <c r="L205" s="3">
        <v>1219</v>
      </c>
      <c r="M205" s="2">
        <f t="shared" si="8"/>
        <v>4.4048315447983457</v>
      </c>
    </row>
    <row r="206" spans="1:13" x14ac:dyDescent="0.3">
      <c r="A206" t="s">
        <v>22</v>
      </c>
      <c r="C206" t="str">
        <f t="shared" si="7"/>
        <v>McArdle_1961</v>
      </c>
      <c r="D206" s="3">
        <v>120</v>
      </c>
      <c r="F206" s="3">
        <v>4</v>
      </c>
      <c r="G206" s="3">
        <v>40</v>
      </c>
      <c r="H206" s="3">
        <v>4150</v>
      </c>
      <c r="I206" s="3">
        <v>1200</v>
      </c>
      <c r="J206" s="3">
        <v>72</v>
      </c>
      <c r="K206" s="3">
        <v>162</v>
      </c>
      <c r="L206" s="3">
        <v>798</v>
      </c>
      <c r="M206" s="2">
        <f t="shared" si="8"/>
        <v>6.1008783236123589</v>
      </c>
    </row>
    <row r="207" spans="1:13" x14ac:dyDescent="0.3">
      <c r="A207" t="s">
        <v>22</v>
      </c>
      <c r="C207" t="str">
        <f t="shared" si="7"/>
        <v>McArdle_1961</v>
      </c>
      <c r="D207" s="3">
        <v>120</v>
      </c>
      <c r="F207" s="3">
        <v>4</v>
      </c>
      <c r="G207" s="3">
        <v>50</v>
      </c>
      <c r="H207" s="3">
        <v>5540</v>
      </c>
      <c r="I207" s="3">
        <v>5500</v>
      </c>
      <c r="J207" s="3">
        <v>84</v>
      </c>
      <c r="K207" s="3">
        <v>187</v>
      </c>
      <c r="L207" s="3">
        <v>572</v>
      </c>
      <c r="M207" s="2">
        <f t="shared" si="8"/>
        <v>7.7421056014620051</v>
      </c>
    </row>
    <row r="208" spans="1:13" x14ac:dyDescent="0.3">
      <c r="A208" t="s">
        <v>22</v>
      </c>
      <c r="C208" t="str">
        <f t="shared" si="7"/>
        <v>McArdle_1961</v>
      </c>
      <c r="D208" s="3">
        <v>120</v>
      </c>
      <c r="F208" s="3">
        <v>4</v>
      </c>
      <c r="G208" s="3">
        <v>60</v>
      </c>
      <c r="H208" s="3">
        <v>6880</v>
      </c>
      <c r="I208" s="3">
        <v>12500</v>
      </c>
      <c r="J208" s="3">
        <v>93</v>
      </c>
      <c r="K208" s="3">
        <v>207</v>
      </c>
      <c r="L208" s="3">
        <v>439</v>
      </c>
      <c r="M208" s="2">
        <f t="shared" si="8"/>
        <v>9.2979929914205233</v>
      </c>
    </row>
    <row r="209" spans="1:13" x14ac:dyDescent="0.3">
      <c r="A209" t="s">
        <v>22</v>
      </c>
      <c r="C209" t="str">
        <f t="shared" si="7"/>
        <v>McArdle_1961</v>
      </c>
      <c r="D209" s="3">
        <v>120</v>
      </c>
      <c r="F209" s="3">
        <v>4</v>
      </c>
      <c r="G209" s="3">
        <v>70</v>
      </c>
      <c r="H209" s="3">
        <v>8000</v>
      </c>
      <c r="I209" s="3">
        <v>20500</v>
      </c>
      <c r="J209" s="3">
        <v>102</v>
      </c>
      <c r="K209" s="3">
        <v>224</v>
      </c>
      <c r="L209" s="3">
        <v>352</v>
      </c>
      <c r="M209" s="2">
        <f t="shared" si="8"/>
        <v>10.801622102507286</v>
      </c>
    </row>
    <row r="210" spans="1:13" x14ac:dyDescent="0.3">
      <c r="A210" t="s">
        <v>22</v>
      </c>
      <c r="C210" t="str">
        <f t="shared" si="7"/>
        <v>McArdle_1961</v>
      </c>
      <c r="D210" s="3">
        <v>120</v>
      </c>
      <c r="F210" s="3">
        <v>4</v>
      </c>
      <c r="G210" s="3">
        <v>80</v>
      </c>
      <c r="H210" s="3">
        <v>9000</v>
      </c>
      <c r="I210" s="3">
        <v>28600</v>
      </c>
      <c r="J210" s="3">
        <v>109</v>
      </c>
      <c r="K210" s="3">
        <v>238</v>
      </c>
      <c r="L210" s="3">
        <v>303</v>
      </c>
      <c r="M210" s="2">
        <f t="shared" si="8"/>
        <v>12.000613980025783</v>
      </c>
    </row>
    <row r="211" spans="1:13" x14ac:dyDescent="0.3">
      <c r="A211" t="s">
        <v>22</v>
      </c>
      <c r="C211" t="str">
        <f t="shared" si="7"/>
        <v>McArdle_1961</v>
      </c>
      <c r="D211" s="3">
        <v>120</v>
      </c>
      <c r="F211" s="3">
        <v>4</v>
      </c>
      <c r="G211" s="3">
        <v>90</v>
      </c>
      <c r="H211" s="3">
        <v>9810</v>
      </c>
      <c r="I211" s="3">
        <v>35700</v>
      </c>
      <c r="J211" s="3">
        <v>115</v>
      </c>
      <c r="K211" s="3">
        <v>249</v>
      </c>
      <c r="L211" s="3">
        <v>266</v>
      </c>
      <c r="M211" s="2">
        <f t="shared" si="8"/>
        <v>13.100719773526485</v>
      </c>
    </row>
    <row r="212" spans="1:13" x14ac:dyDescent="0.3">
      <c r="A212" t="s">
        <v>22</v>
      </c>
      <c r="C212" t="str">
        <f t="shared" si="7"/>
        <v>McArdle_1961</v>
      </c>
      <c r="D212" s="3">
        <v>120</v>
      </c>
      <c r="F212" s="3">
        <v>4</v>
      </c>
      <c r="G212" s="3">
        <v>100</v>
      </c>
      <c r="H212" s="3">
        <v>10510</v>
      </c>
      <c r="I212" s="3">
        <v>42000</v>
      </c>
      <c r="J212" s="3">
        <v>120</v>
      </c>
      <c r="K212" s="3">
        <v>260</v>
      </c>
      <c r="L212" s="3">
        <v>239</v>
      </c>
      <c r="M212" s="2">
        <f t="shared" si="8"/>
        <v>14.122904597413543</v>
      </c>
    </row>
    <row r="213" spans="1:13" x14ac:dyDescent="0.3">
      <c r="A213" t="s">
        <v>22</v>
      </c>
      <c r="C213" t="str">
        <f t="shared" si="7"/>
        <v>McArdle_1961</v>
      </c>
      <c r="D213" s="3">
        <v>120</v>
      </c>
      <c r="F213" s="3">
        <v>4</v>
      </c>
      <c r="G213" s="3">
        <v>110</v>
      </c>
      <c r="H213" s="3">
        <v>11080</v>
      </c>
      <c r="I213" s="3">
        <v>47500</v>
      </c>
      <c r="J213" s="3">
        <v>124</v>
      </c>
      <c r="K213" s="3">
        <v>269</v>
      </c>
      <c r="L213" s="3">
        <v>217</v>
      </c>
      <c r="M213" s="2">
        <f t="shared" si="8"/>
        <v>15.075876633988921</v>
      </c>
    </row>
    <row r="214" spans="1:13" x14ac:dyDescent="0.3">
      <c r="A214" t="s">
        <v>22</v>
      </c>
      <c r="C214" t="str">
        <f t="shared" si="7"/>
        <v>McArdle_1961</v>
      </c>
      <c r="D214" s="3">
        <v>120</v>
      </c>
      <c r="F214" s="3">
        <v>4</v>
      </c>
      <c r="G214" s="3">
        <v>120</v>
      </c>
      <c r="H214" s="3">
        <v>11580</v>
      </c>
      <c r="I214" s="3">
        <v>52400</v>
      </c>
      <c r="J214" s="3">
        <v>128</v>
      </c>
      <c r="K214" s="3">
        <v>277</v>
      </c>
      <c r="L214" s="3">
        <v>197</v>
      </c>
      <c r="M214" s="2">
        <f t="shared" si="8"/>
        <v>16.056211244254555</v>
      </c>
    </row>
    <row r="215" spans="1:13" x14ac:dyDescent="0.3">
      <c r="A215" t="s">
        <v>22</v>
      </c>
      <c r="C215" t="str">
        <f t="shared" si="7"/>
        <v>McArdle_1961</v>
      </c>
      <c r="D215" s="3">
        <v>120</v>
      </c>
      <c r="F215" s="3">
        <v>4</v>
      </c>
      <c r="G215" s="3">
        <v>130</v>
      </c>
      <c r="H215" s="3">
        <v>12000</v>
      </c>
      <c r="I215" s="3">
        <v>56700</v>
      </c>
      <c r="J215" s="3">
        <v>131</v>
      </c>
      <c r="K215" s="3">
        <v>284</v>
      </c>
      <c r="L215" s="3">
        <v>184</v>
      </c>
      <c r="M215" s="2">
        <f t="shared" si="8"/>
        <v>16.822345967098673</v>
      </c>
    </row>
    <row r="216" spans="1:13" x14ac:dyDescent="0.3">
      <c r="A216" t="s">
        <v>22</v>
      </c>
      <c r="C216" t="str">
        <f t="shared" si="7"/>
        <v>McArdle_1961</v>
      </c>
      <c r="D216" s="3">
        <v>120</v>
      </c>
      <c r="F216" s="3">
        <v>4</v>
      </c>
      <c r="G216" s="3">
        <v>140</v>
      </c>
      <c r="H216" s="3">
        <v>12370</v>
      </c>
      <c r="I216" s="3">
        <v>60600</v>
      </c>
      <c r="J216" s="3">
        <v>133</v>
      </c>
      <c r="K216" s="3">
        <v>291</v>
      </c>
      <c r="L216" s="3">
        <v>171</v>
      </c>
      <c r="M216" s="2">
        <f t="shared" si="8"/>
        <v>17.66382450267178</v>
      </c>
    </row>
    <row r="217" spans="1:13" x14ac:dyDescent="0.3">
      <c r="A217" t="s">
        <v>22</v>
      </c>
      <c r="C217" t="str">
        <f t="shared" si="7"/>
        <v>McArdle_1961</v>
      </c>
      <c r="D217" s="3">
        <v>120</v>
      </c>
      <c r="F217" s="3">
        <v>4</v>
      </c>
      <c r="G217" s="3">
        <v>150</v>
      </c>
      <c r="H217" s="3">
        <v>12710</v>
      </c>
      <c r="I217" s="3">
        <v>64000</v>
      </c>
      <c r="J217" s="3">
        <v>134</v>
      </c>
      <c r="K217" s="3">
        <v>298</v>
      </c>
      <c r="L217" s="3">
        <v>160</v>
      </c>
      <c r="M217" s="2">
        <f t="shared" si="8"/>
        <v>18.479254325283637</v>
      </c>
    </row>
    <row r="218" spans="1:13" x14ac:dyDescent="0.3">
      <c r="A218" t="s">
        <v>22</v>
      </c>
      <c r="C218" t="str">
        <f t="shared" si="7"/>
        <v>McArdle_1961</v>
      </c>
      <c r="D218" s="3">
        <v>120</v>
      </c>
      <c r="F218" s="3">
        <v>4</v>
      </c>
      <c r="G218" s="3">
        <v>160</v>
      </c>
      <c r="H218" s="3">
        <v>13040</v>
      </c>
      <c r="I218" s="3">
        <v>67100</v>
      </c>
      <c r="J218" s="3">
        <v>136</v>
      </c>
      <c r="K218" s="3">
        <v>304</v>
      </c>
      <c r="L218" s="3">
        <v>152</v>
      </c>
      <c r="M218" s="2">
        <f t="shared" si="8"/>
        <v>19.14922930563386</v>
      </c>
    </row>
    <row r="219" spans="1:13" x14ac:dyDescent="0.3">
      <c r="A219" t="s">
        <v>22</v>
      </c>
      <c r="C219" t="str">
        <f t="shared" si="7"/>
        <v>McArdle_1961</v>
      </c>
      <c r="D219" s="3">
        <v>130</v>
      </c>
      <c r="F219" s="3">
        <v>3</v>
      </c>
      <c r="G219" s="3">
        <v>20</v>
      </c>
      <c r="H219" s="3">
        <v>1120</v>
      </c>
      <c r="J219" s="3">
        <v>34</v>
      </c>
      <c r="K219" s="3">
        <v>89</v>
      </c>
      <c r="L219" s="3">
        <v>1815</v>
      </c>
      <c r="M219" s="2">
        <f t="shared" si="8"/>
        <v>2.9984236210529946</v>
      </c>
    </row>
    <row r="220" spans="1:13" x14ac:dyDescent="0.3">
      <c r="A220" t="s">
        <v>22</v>
      </c>
      <c r="C220" t="str">
        <f t="shared" si="7"/>
        <v>McArdle_1961</v>
      </c>
      <c r="D220" s="3">
        <v>130</v>
      </c>
      <c r="F220" s="3">
        <v>3</v>
      </c>
      <c r="G220" s="3">
        <v>30</v>
      </c>
      <c r="H220" s="3">
        <v>2980</v>
      </c>
      <c r="I220" s="3">
        <v>0</v>
      </c>
      <c r="J220" s="3">
        <v>60</v>
      </c>
      <c r="K220" s="3">
        <v>135</v>
      </c>
      <c r="L220" s="3">
        <v>1030</v>
      </c>
      <c r="M220" s="2">
        <f t="shared" si="8"/>
        <v>4.9021271737535832</v>
      </c>
    </row>
    <row r="221" spans="1:13" x14ac:dyDescent="0.3">
      <c r="A221" t="s">
        <v>22</v>
      </c>
      <c r="C221" t="str">
        <f t="shared" si="7"/>
        <v>McArdle_1961</v>
      </c>
      <c r="D221" s="3">
        <v>130</v>
      </c>
      <c r="F221" s="3">
        <v>3</v>
      </c>
      <c r="G221" s="3">
        <v>40</v>
      </c>
      <c r="H221" s="3">
        <v>4690</v>
      </c>
      <c r="I221" s="3">
        <v>2600</v>
      </c>
      <c r="J221" s="3">
        <v>78</v>
      </c>
      <c r="K221" s="3">
        <v>170</v>
      </c>
      <c r="L221" s="3">
        <v>680</v>
      </c>
      <c r="M221" s="2">
        <f t="shared" si="8"/>
        <v>6.770274948254932</v>
      </c>
    </row>
    <row r="222" spans="1:13" x14ac:dyDescent="0.3">
      <c r="A222" t="s">
        <v>22</v>
      </c>
      <c r="C222" t="str">
        <f t="shared" si="7"/>
        <v>McArdle_1961</v>
      </c>
      <c r="D222" s="3">
        <v>130</v>
      </c>
      <c r="F222" s="3">
        <v>3</v>
      </c>
      <c r="G222" s="3">
        <v>50</v>
      </c>
      <c r="H222" s="3">
        <v>6300</v>
      </c>
      <c r="I222" s="3">
        <v>8400</v>
      </c>
      <c r="J222" s="3">
        <v>91</v>
      </c>
      <c r="K222" s="3">
        <v>196</v>
      </c>
      <c r="L222" s="3">
        <v>496</v>
      </c>
      <c r="M222" s="2">
        <f t="shared" si="8"/>
        <v>8.5118409381994447</v>
      </c>
    </row>
    <row r="223" spans="1:13" x14ac:dyDescent="0.3">
      <c r="A223" t="s">
        <v>22</v>
      </c>
      <c r="C223" t="str">
        <f t="shared" si="7"/>
        <v>McArdle_1961</v>
      </c>
      <c r="D223" s="3">
        <v>130</v>
      </c>
      <c r="F223" s="3">
        <v>3</v>
      </c>
      <c r="G223" s="3">
        <v>60</v>
      </c>
      <c r="H223" s="3">
        <v>7760</v>
      </c>
      <c r="I223" s="3">
        <v>18000</v>
      </c>
      <c r="J223" s="3">
        <v>101</v>
      </c>
      <c r="K223" s="3">
        <v>217</v>
      </c>
      <c r="L223" s="3">
        <v>380</v>
      </c>
      <c r="M223" s="2">
        <f t="shared" si="8"/>
        <v>10.232326053335564</v>
      </c>
    </row>
    <row r="224" spans="1:13" x14ac:dyDescent="0.3">
      <c r="A224" t="s">
        <v>22</v>
      </c>
      <c r="C224" t="str">
        <f t="shared" si="7"/>
        <v>McArdle_1961</v>
      </c>
      <c r="D224" s="3">
        <v>130</v>
      </c>
      <c r="F224" s="3">
        <v>3</v>
      </c>
      <c r="G224" s="3">
        <v>70</v>
      </c>
      <c r="H224" s="3">
        <v>9100</v>
      </c>
      <c r="I224" s="3">
        <v>27900</v>
      </c>
      <c r="J224" s="3">
        <v>110</v>
      </c>
      <c r="K224" s="3">
        <v>235</v>
      </c>
      <c r="L224" s="3">
        <v>310</v>
      </c>
      <c r="M224" s="2">
        <f t="shared" si="8"/>
        <v>11.789337104468903</v>
      </c>
    </row>
    <row r="225" spans="1:13" x14ac:dyDescent="0.3">
      <c r="A225" t="s">
        <v>22</v>
      </c>
      <c r="C225" t="str">
        <f t="shared" si="7"/>
        <v>McArdle_1961</v>
      </c>
      <c r="D225" s="3">
        <v>130</v>
      </c>
      <c r="F225" s="3">
        <v>3</v>
      </c>
      <c r="G225" s="3">
        <v>80</v>
      </c>
      <c r="H225" s="3">
        <v>10240</v>
      </c>
      <c r="I225" s="3">
        <v>37000</v>
      </c>
      <c r="J225" s="3">
        <v>118</v>
      </c>
      <c r="K225" s="3">
        <v>249</v>
      </c>
      <c r="L225" s="3">
        <v>266</v>
      </c>
      <c r="M225" s="2">
        <f t="shared" si="8"/>
        <v>13.100719773526485</v>
      </c>
    </row>
    <row r="226" spans="1:13" x14ac:dyDescent="0.3">
      <c r="A226" t="s">
        <v>22</v>
      </c>
      <c r="C226" t="str">
        <f t="shared" si="7"/>
        <v>McArdle_1961</v>
      </c>
      <c r="D226" s="3">
        <v>130</v>
      </c>
      <c r="F226" s="3">
        <v>3</v>
      </c>
      <c r="G226" s="3">
        <v>90</v>
      </c>
      <c r="H226" s="3">
        <v>11160</v>
      </c>
      <c r="I226" s="3">
        <v>45200</v>
      </c>
      <c r="J226" s="3">
        <v>125</v>
      </c>
      <c r="K226" s="3">
        <v>262</v>
      </c>
      <c r="L226" s="3">
        <v>235</v>
      </c>
      <c r="M226" s="2">
        <f t="shared" si="8"/>
        <v>14.297266629550368</v>
      </c>
    </row>
    <row r="227" spans="1:13" x14ac:dyDescent="0.3">
      <c r="A227" t="s">
        <v>22</v>
      </c>
      <c r="C227" t="str">
        <f t="shared" si="7"/>
        <v>McArdle_1961</v>
      </c>
      <c r="D227" s="3">
        <v>130</v>
      </c>
      <c r="F227" s="3">
        <v>3</v>
      </c>
      <c r="G227" s="3">
        <v>100</v>
      </c>
      <c r="H227" s="3">
        <v>11940</v>
      </c>
      <c r="I227" s="3">
        <v>52400</v>
      </c>
      <c r="J227" s="3">
        <v>130</v>
      </c>
      <c r="K227" s="3">
        <v>273</v>
      </c>
      <c r="L227" s="3">
        <v>209</v>
      </c>
      <c r="M227" s="2">
        <f t="shared" si="8"/>
        <v>15.475492614843747</v>
      </c>
    </row>
    <row r="228" spans="1:13" x14ac:dyDescent="0.3">
      <c r="A228" t="s">
        <v>22</v>
      </c>
      <c r="C228" t="str">
        <f t="shared" si="7"/>
        <v>McArdle_1961</v>
      </c>
      <c r="D228" s="3">
        <v>130</v>
      </c>
      <c r="F228" s="3">
        <v>3</v>
      </c>
      <c r="G228" s="3">
        <v>110</v>
      </c>
      <c r="H228" s="3">
        <v>12610</v>
      </c>
      <c r="I228" s="3">
        <v>58500</v>
      </c>
      <c r="J228" s="3">
        <v>135</v>
      </c>
      <c r="K228" s="3">
        <v>282</v>
      </c>
      <c r="L228" s="3">
        <v>188</v>
      </c>
      <c r="M228" s="2">
        <f t="shared" si="8"/>
        <v>16.583719041572369</v>
      </c>
    </row>
    <row r="229" spans="1:13" x14ac:dyDescent="0.3">
      <c r="A229" t="s">
        <v>22</v>
      </c>
      <c r="C229" t="str">
        <f t="shared" si="7"/>
        <v>McArdle_1961</v>
      </c>
      <c r="D229" s="3">
        <v>130</v>
      </c>
      <c r="F229" s="3">
        <v>3</v>
      </c>
      <c r="G229" s="3">
        <v>120</v>
      </c>
      <c r="H229" s="3">
        <v>13180</v>
      </c>
      <c r="I229" s="3">
        <v>63900</v>
      </c>
      <c r="J229" s="3">
        <v>138</v>
      </c>
      <c r="K229" s="3">
        <v>290</v>
      </c>
      <c r="L229" s="3">
        <v>173</v>
      </c>
      <c r="M229" s="2">
        <f t="shared" si="8"/>
        <v>17.531224420498088</v>
      </c>
    </row>
    <row r="230" spans="1:13" x14ac:dyDescent="0.3">
      <c r="A230" t="s">
        <v>22</v>
      </c>
      <c r="C230" t="str">
        <f t="shared" si="7"/>
        <v>McArdle_1961</v>
      </c>
      <c r="D230" s="3">
        <v>130</v>
      </c>
      <c r="F230" s="3">
        <v>3</v>
      </c>
      <c r="G230" s="3">
        <v>130</v>
      </c>
      <c r="H230" s="3">
        <v>13650</v>
      </c>
      <c r="I230" s="3">
        <v>68700</v>
      </c>
      <c r="J230" s="3">
        <v>141</v>
      </c>
      <c r="K230" s="3">
        <v>298</v>
      </c>
      <c r="L230" s="3">
        <v>161</v>
      </c>
      <c r="M230" s="2">
        <f t="shared" si="8"/>
        <v>18.42177594553096</v>
      </c>
    </row>
    <row r="231" spans="1:13" x14ac:dyDescent="0.3">
      <c r="A231" t="s">
        <v>22</v>
      </c>
      <c r="C231" t="str">
        <f t="shared" si="7"/>
        <v>McArdle_1961</v>
      </c>
      <c r="D231" s="3">
        <v>130</v>
      </c>
      <c r="F231" s="3">
        <v>3</v>
      </c>
      <c r="G231" s="3">
        <v>140</v>
      </c>
      <c r="H231" s="3">
        <v>14080</v>
      </c>
      <c r="I231" s="3">
        <v>72900</v>
      </c>
      <c r="J231" s="3">
        <v>144</v>
      </c>
      <c r="K231" s="3">
        <v>305</v>
      </c>
      <c r="L231" s="3">
        <v>149</v>
      </c>
      <c r="M231" s="2">
        <f t="shared" si="8"/>
        <v>19.372830886582975</v>
      </c>
    </row>
    <row r="232" spans="1:13" x14ac:dyDescent="0.3">
      <c r="A232" t="s">
        <v>22</v>
      </c>
      <c r="C232" t="str">
        <f t="shared" si="7"/>
        <v>McArdle_1961</v>
      </c>
      <c r="D232" s="3">
        <v>130</v>
      </c>
      <c r="F232" s="3">
        <v>3</v>
      </c>
      <c r="G232" s="3">
        <v>150</v>
      </c>
      <c r="H232" s="3">
        <v>14490</v>
      </c>
      <c r="I232" s="3">
        <v>76600</v>
      </c>
      <c r="J232" s="3">
        <v>145</v>
      </c>
      <c r="K232" s="3">
        <v>312</v>
      </c>
      <c r="L232" s="3">
        <v>141</v>
      </c>
      <c r="M232" s="2">
        <f t="shared" si="8"/>
        <v>20.142067292317101</v>
      </c>
    </row>
    <row r="233" spans="1:13" x14ac:dyDescent="0.3">
      <c r="A233" t="s">
        <v>22</v>
      </c>
      <c r="C233" t="str">
        <f t="shared" si="7"/>
        <v>McArdle_1961</v>
      </c>
      <c r="D233" s="3">
        <v>130</v>
      </c>
      <c r="F233" s="3">
        <v>3</v>
      </c>
      <c r="G233" s="3">
        <v>160</v>
      </c>
      <c r="H233" s="3">
        <v>14850</v>
      </c>
      <c r="I233" s="3">
        <v>80100</v>
      </c>
      <c r="J233" s="3">
        <v>147</v>
      </c>
      <c r="K233" s="3">
        <v>318</v>
      </c>
      <c r="L233" s="3">
        <v>133</v>
      </c>
      <c r="M233" s="2">
        <f t="shared" si="8"/>
        <v>20.937462251692551</v>
      </c>
    </row>
    <row r="234" spans="1:13" x14ac:dyDescent="0.3">
      <c r="A234" t="s">
        <v>22</v>
      </c>
      <c r="C234" t="str">
        <f t="shared" si="7"/>
        <v>McArdle_1961</v>
      </c>
      <c r="D234" s="3">
        <v>140</v>
      </c>
      <c r="F234" s="3">
        <v>3</v>
      </c>
      <c r="G234" s="3">
        <v>20</v>
      </c>
      <c r="H234" s="3">
        <v>1250</v>
      </c>
      <c r="J234" s="3">
        <v>37</v>
      </c>
      <c r="K234" s="3">
        <v>92</v>
      </c>
      <c r="L234" s="3">
        <v>1460</v>
      </c>
      <c r="M234" s="2">
        <f t="shared" si="8"/>
        <v>3.3990205295446496</v>
      </c>
    </row>
    <row r="235" spans="1:13" x14ac:dyDescent="0.3">
      <c r="A235" t="s">
        <v>22</v>
      </c>
      <c r="C235" t="str">
        <f t="shared" si="7"/>
        <v>McArdle_1961</v>
      </c>
      <c r="D235" s="3">
        <v>140</v>
      </c>
      <c r="F235" s="3">
        <v>3</v>
      </c>
      <c r="G235" s="3">
        <v>30</v>
      </c>
      <c r="H235" s="3">
        <v>3300</v>
      </c>
      <c r="I235" s="3">
        <v>300</v>
      </c>
      <c r="J235" s="3">
        <v>64</v>
      </c>
      <c r="K235" s="3">
        <v>140</v>
      </c>
      <c r="L235" s="3">
        <v>865</v>
      </c>
      <c r="M235" s="2">
        <f t="shared" si="8"/>
        <v>5.4474376232260822</v>
      </c>
    </row>
    <row r="236" spans="1:13" x14ac:dyDescent="0.3">
      <c r="A236" t="s">
        <v>22</v>
      </c>
      <c r="C236" t="str">
        <f t="shared" si="7"/>
        <v>McArdle_1961</v>
      </c>
      <c r="D236" s="3">
        <v>140</v>
      </c>
      <c r="F236" s="3">
        <v>3</v>
      </c>
      <c r="G236" s="3">
        <v>40</v>
      </c>
      <c r="H236" s="3">
        <v>5250</v>
      </c>
      <c r="I236" s="3">
        <v>4500</v>
      </c>
      <c r="J236" s="3">
        <v>84</v>
      </c>
      <c r="K236" s="3">
        <v>177</v>
      </c>
      <c r="L236" s="3">
        <v>585</v>
      </c>
      <c r="M236" s="2">
        <f t="shared" si="8"/>
        <v>7.4480914776159954</v>
      </c>
    </row>
    <row r="237" spans="1:13" x14ac:dyDescent="0.3">
      <c r="A237" t="s">
        <v>22</v>
      </c>
      <c r="C237" t="str">
        <f t="shared" si="7"/>
        <v>McArdle_1961</v>
      </c>
      <c r="D237" s="3">
        <v>140</v>
      </c>
      <c r="F237" s="3">
        <v>3</v>
      </c>
      <c r="G237" s="3">
        <v>50</v>
      </c>
      <c r="H237" s="3">
        <v>7050</v>
      </c>
      <c r="I237" s="3">
        <v>12400</v>
      </c>
      <c r="J237" s="3">
        <v>98</v>
      </c>
      <c r="K237" s="3">
        <v>204</v>
      </c>
      <c r="L237" s="3">
        <v>430</v>
      </c>
      <c r="M237" s="2">
        <f t="shared" si="8"/>
        <v>9.326466998014638</v>
      </c>
    </row>
    <row r="238" spans="1:13" x14ac:dyDescent="0.3">
      <c r="A238" t="s">
        <v>22</v>
      </c>
      <c r="C238" t="str">
        <f t="shared" si="7"/>
        <v>McArdle_1961</v>
      </c>
      <c r="D238" s="3">
        <v>140</v>
      </c>
      <c r="F238" s="3">
        <v>3</v>
      </c>
      <c r="G238" s="3">
        <v>60</v>
      </c>
      <c r="H238" s="3">
        <v>8700</v>
      </c>
      <c r="I238" s="3">
        <v>23800</v>
      </c>
      <c r="J238" s="3">
        <v>109</v>
      </c>
      <c r="K238" s="3">
        <v>226</v>
      </c>
      <c r="L238" s="3">
        <v>337</v>
      </c>
      <c r="M238" s="2">
        <f t="shared" si="8"/>
        <v>11.088570729711209</v>
      </c>
    </row>
    <row r="239" spans="1:13" x14ac:dyDescent="0.3">
      <c r="A239" t="s">
        <v>22</v>
      </c>
      <c r="C239" t="str">
        <f t="shared" si="7"/>
        <v>McArdle_1961</v>
      </c>
      <c r="D239" s="3">
        <v>140</v>
      </c>
      <c r="F239" s="3">
        <v>3</v>
      </c>
      <c r="G239" s="3">
        <v>70</v>
      </c>
      <c r="H239" s="3">
        <v>10150</v>
      </c>
      <c r="I239" s="3">
        <v>35200</v>
      </c>
      <c r="J239" s="3">
        <v>119</v>
      </c>
      <c r="K239" s="3">
        <v>244</v>
      </c>
      <c r="L239" s="3">
        <v>274</v>
      </c>
      <c r="M239" s="2">
        <f t="shared" si="8"/>
        <v>12.777795511119075</v>
      </c>
    </row>
    <row r="240" spans="1:13" x14ac:dyDescent="0.3">
      <c r="A240" t="s">
        <v>22</v>
      </c>
      <c r="C240" t="str">
        <f t="shared" si="7"/>
        <v>McArdle_1961</v>
      </c>
      <c r="D240" s="3">
        <v>140</v>
      </c>
      <c r="F240" s="3">
        <v>3</v>
      </c>
      <c r="G240" s="3">
        <v>80</v>
      </c>
      <c r="H240" s="3">
        <v>11350</v>
      </c>
      <c r="I240" s="3">
        <v>45700</v>
      </c>
      <c r="J240" s="3">
        <v>127</v>
      </c>
      <c r="K240" s="3">
        <v>259</v>
      </c>
      <c r="L240" s="3">
        <v>232</v>
      </c>
      <c r="M240" s="2">
        <f t="shared" si="8"/>
        <v>14.306789637608166</v>
      </c>
    </row>
    <row r="241" spans="1:13" x14ac:dyDescent="0.3">
      <c r="A241" t="s">
        <v>22</v>
      </c>
      <c r="C241" t="str">
        <f t="shared" si="7"/>
        <v>McArdle_1961</v>
      </c>
      <c r="D241" s="3">
        <v>140</v>
      </c>
      <c r="F241" s="3">
        <v>3</v>
      </c>
      <c r="G241" s="3">
        <v>90</v>
      </c>
      <c r="H241" s="3">
        <v>12390</v>
      </c>
      <c r="I241" s="3">
        <v>55000</v>
      </c>
      <c r="J241" s="3">
        <v>134</v>
      </c>
      <c r="K241" s="3">
        <v>272</v>
      </c>
      <c r="L241" s="3">
        <v>205</v>
      </c>
      <c r="M241" s="2">
        <f t="shared" si="8"/>
        <v>15.597098805893598</v>
      </c>
    </row>
    <row r="242" spans="1:13" x14ac:dyDescent="0.3">
      <c r="A242" t="s">
        <v>22</v>
      </c>
      <c r="C242" t="str">
        <f t="shared" si="7"/>
        <v>McArdle_1961</v>
      </c>
      <c r="D242" s="3">
        <v>140</v>
      </c>
      <c r="F242" s="3">
        <v>3</v>
      </c>
      <c r="G242" s="3">
        <v>100</v>
      </c>
      <c r="H242" s="3">
        <v>13270</v>
      </c>
      <c r="I242" s="3">
        <v>62800</v>
      </c>
      <c r="J242" s="3">
        <v>140</v>
      </c>
      <c r="K242" s="3">
        <v>283</v>
      </c>
      <c r="L242" s="3">
        <v>184</v>
      </c>
      <c r="M242" s="2">
        <f t="shared" si="8"/>
        <v>16.79270304368514</v>
      </c>
    </row>
    <row r="243" spans="1:13" x14ac:dyDescent="0.3">
      <c r="A243" t="s">
        <v>22</v>
      </c>
      <c r="C243" t="str">
        <f t="shared" si="7"/>
        <v>McArdle_1961</v>
      </c>
      <c r="D243" s="3">
        <v>140</v>
      </c>
      <c r="F243" s="3">
        <v>3</v>
      </c>
      <c r="G243" s="3">
        <v>110</v>
      </c>
      <c r="H243" s="3">
        <v>14000</v>
      </c>
      <c r="I243" s="3">
        <v>69400</v>
      </c>
      <c r="J243" s="3">
        <v>145</v>
      </c>
      <c r="K243" s="3">
        <v>292</v>
      </c>
      <c r="L243" s="3">
        <v>166</v>
      </c>
      <c r="M243" s="2">
        <f t="shared" si="8"/>
        <v>17.958649880486494</v>
      </c>
    </row>
    <row r="244" spans="1:13" x14ac:dyDescent="0.3">
      <c r="A244" t="s">
        <v>22</v>
      </c>
      <c r="C244" t="str">
        <f t="shared" si="7"/>
        <v>McArdle_1961</v>
      </c>
      <c r="D244" s="3">
        <v>140</v>
      </c>
      <c r="F244" s="3">
        <v>3</v>
      </c>
      <c r="G244" s="3">
        <v>120</v>
      </c>
      <c r="H244" s="3">
        <v>14600</v>
      </c>
      <c r="I244" s="3">
        <v>75000</v>
      </c>
      <c r="J244" s="3">
        <v>149</v>
      </c>
      <c r="K244" s="3">
        <v>301</v>
      </c>
      <c r="L244" s="3">
        <v>152</v>
      </c>
      <c r="M244" s="2">
        <f t="shared" si="8"/>
        <v>19.054508711757951</v>
      </c>
    </row>
    <row r="245" spans="1:13" x14ac:dyDescent="0.3">
      <c r="A245" t="s">
        <v>22</v>
      </c>
      <c r="C245" t="str">
        <f t="shared" si="7"/>
        <v>McArdle_1961</v>
      </c>
      <c r="D245" s="3">
        <v>140</v>
      </c>
      <c r="F245" s="3">
        <v>3</v>
      </c>
      <c r="G245" s="3">
        <v>130</v>
      </c>
      <c r="H245" s="3">
        <v>15140</v>
      </c>
      <c r="I245" s="3">
        <v>80000</v>
      </c>
      <c r="J245" s="3">
        <v>152</v>
      </c>
      <c r="K245" s="3">
        <v>309</v>
      </c>
      <c r="L245" s="3">
        <v>141</v>
      </c>
      <c r="M245" s="2">
        <f t="shared" si="8"/>
        <v>20.044996523506356</v>
      </c>
    </row>
    <row r="246" spans="1:13" x14ac:dyDescent="0.3">
      <c r="A246" t="s">
        <v>22</v>
      </c>
      <c r="C246" t="str">
        <f t="shared" si="7"/>
        <v>McArdle_1961</v>
      </c>
      <c r="D246" s="3">
        <v>140</v>
      </c>
      <c r="F246" s="3">
        <v>3</v>
      </c>
      <c r="G246" s="3">
        <v>140</v>
      </c>
      <c r="H246" s="3">
        <v>15610</v>
      </c>
      <c r="I246" s="3">
        <v>84500</v>
      </c>
      <c r="J246" s="3">
        <v>154</v>
      </c>
      <c r="K246" s="3">
        <v>317</v>
      </c>
      <c r="L246" s="3">
        <v>131</v>
      </c>
      <c r="M246" s="2">
        <f t="shared" si="8"/>
        <v>21.063487783340396</v>
      </c>
    </row>
    <row r="247" spans="1:13" x14ac:dyDescent="0.3">
      <c r="A247" t="s">
        <v>22</v>
      </c>
      <c r="C247" t="str">
        <f t="shared" si="7"/>
        <v>McArdle_1961</v>
      </c>
      <c r="D247" s="3">
        <v>140</v>
      </c>
      <c r="F247" s="3">
        <v>3</v>
      </c>
      <c r="G247" s="3">
        <v>150</v>
      </c>
      <c r="H247" s="3">
        <v>16080</v>
      </c>
      <c r="I247" s="3">
        <v>88600</v>
      </c>
      <c r="J247" s="3">
        <v>156</v>
      </c>
      <c r="K247" s="3">
        <v>324</v>
      </c>
      <c r="L247" s="3">
        <v>123</v>
      </c>
      <c r="M247" s="2">
        <f t="shared" si="8"/>
        <v>21.976384821087937</v>
      </c>
    </row>
    <row r="248" spans="1:13" x14ac:dyDescent="0.3">
      <c r="A248" t="s">
        <v>22</v>
      </c>
      <c r="C248" t="str">
        <f t="shared" si="7"/>
        <v>McArdle_1961</v>
      </c>
      <c r="D248" s="3">
        <v>140</v>
      </c>
      <c r="F248" s="3">
        <v>3</v>
      </c>
      <c r="G248" s="3">
        <v>160</v>
      </c>
      <c r="H248" s="3">
        <v>16490</v>
      </c>
      <c r="I248" s="3">
        <v>92400</v>
      </c>
      <c r="J248" s="3">
        <v>158</v>
      </c>
      <c r="K248" s="3">
        <v>331</v>
      </c>
      <c r="L248" s="3">
        <v>117</v>
      </c>
      <c r="M248" s="2">
        <f t="shared" si="8"/>
        <v>22.774946627848571</v>
      </c>
    </row>
    <row r="249" spans="1:13" x14ac:dyDescent="0.3">
      <c r="A249" t="s">
        <v>22</v>
      </c>
      <c r="C249" t="str">
        <f t="shared" si="7"/>
        <v>McArdle_1961</v>
      </c>
      <c r="D249" s="3">
        <v>150</v>
      </c>
      <c r="F249" s="3">
        <v>3</v>
      </c>
      <c r="G249" s="3">
        <v>20</v>
      </c>
      <c r="H249" s="3">
        <v>1380</v>
      </c>
      <c r="J249" s="3">
        <v>39</v>
      </c>
      <c r="K249" s="3">
        <v>95</v>
      </c>
      <c r="L249" s="3">
        <v>1210</v>
      </c>
      <c r="M249" s="2">
        <f t="shared" si="8"/>
        <v>3.7940706995429787</v>
      </c>
    </row>
    <row r="250" spans="1:13" x14ac:dyDescent="0.3">
      <c r="A250" t="s">
        <v>22</v>
      </c>
      <c r="C250" t="str">
        <f t="shared" si="7"/>
        <v>McArdle_1961</v>
      </c>
      <c r="D250" s="3">
        <v>150</v>
      </c>
      <c r="F250" s="3">
        <v>3</v>
      </c>
      <c r="G250" s="3">
        <v>30</v>
      </c>
      <c r="H250" s="3">
        <v>3610</v>
      </c>
      <c r="I250" s="3">
        <v>900</v>
      </c>
      <c r="J250" s="3">
        <v>69</v>
      </c>
      <c r="K250" s="3">
        <v>144</v>
      </c>
      <c r="L250" s="3">
        <v>735</v>
      </c>
      <c r="M250" s="2">
        <f t="shared" si="8"/>
        <v>5.9934084854483736</v>
      </c>
    </row>
    <row r="251" spans="1:13" x14ac:dyDescent="0.3">
      <c r="A251" t="s">
        <v>22</v>
      </c>
      <c r="C251" t="str">
        <f t="shared" si="7"/>
        <v>McArdle_1961</v>
      </c>
      <c r="D251" s="3">
        <v>150</v>
      </c>
      <c r="F251" s="3">
        <v>3</v>
      </c>
      <c r="G251" s="3">
        <v>40</v>
      </c>
      <c r="H251" s="3">
        <v>5750</v>
      </c>
      <c r="I251" s="3">
        <v>6500</v>
      </c>
      <c r="J251" s="3">
        <v>90</v>
      </c>
      <c r="K251" s="3">
        <v>182</v>
      </c>
      <c r="L251" s="3">
        <v>510</v>
      </c>
      <c r="M251" s="2">
        <f t="shared" si="8"/>
        <v>8.0888523450943968</v>
      </c>
    </row>
    <row r="252" spans="1:13" x14ac:dyDescent="0.3">
      <c r="A252" t="s">
        <v>22</v>
      </c>
      <c r="C252" t="str">
        <f t="shared" si="7"/>
        <v>McArdle_1961</v>
      </c>
      <c r="D252" s="3">
        <v>150</v>
      </c>
      <c r="F252" s="3">
        <v>3</v>
      </c>
      <c r="G252" s="3">
        <v>50</v>
      </c>
      <c r="H252" s="3">
        <v>7730</v>
      </c>
      <c r="I252" s="3">
        <v>17000</v>
      </c>
      <c r="J252" s="3">
        <v>105</v>
      </c>
      <c r="K252" s="3">
        <v>210</v>
      </c>
      <c r="L252" s="3">
        <v>377</v>
      </c>
      <c r="M252" s="2">
        <f t="shared" si="8"/>
        <v>10.105906460966647</v>
      </c>
    </row>
    <row r="253" spans="1:13" x14ac:dyDescent="0.3">
      <c r="A253" t="s">
        <v>22</v>
      </c>
      <c r="C253" t="str">
        <f t="shared" si="7"/>
        <v>McArdle_1961</v>
      </c>
      <c r="D253" s="3">
        <v>150</v>
      </c>
      <c r="F253" s="3">
        <v>3</v>
      </c>
      <c r="G253" s="3">
        <v>60</v>
      </c>
      <c r="H253" s="3">
        <v>9490</v>
      </c>
      <c r="I253" s="3">
        <v>29600</v>
      </c>
      <c r="J253" s="3">
        <v>117</v>
      </c>
      <c r="K253" s="3">
        <v>232</v>
      </c>
      <c r="L253" s="3">
        <v>296</v>
      </c>
      <c r="M253" s="2">
        <f t="shared" si="8"/>
        <v>11.987660607943988</v>
      </c>
    </row>
    <row r="254" spans="1:13" x14ac:dyDescent="0.3">
      <c r="A254" t="s">
        <v>22</v>
      </c>
      <c r="C254" t="str">
        <f t="shared" si="7"/>
        <v>McArdle_1961</v>
      </c>
      <c r="D254" s="3">
        <v>150</v>
      </c>
      <c r="F254" s="3">
        <v>3</v>
      </c>
      <c r="G254" s="3">
        <v>70</v>
      </c>
      <c r="H254" s="3">
        <v>11060</v>
      </c>
      <c r="I254" s="3">
        <v>42500</v>
      </c>
      <c r="J254" s="3">
        <v>127</v>
      </c>
      <c r="K254" s="3">
        <v>251</v>
      </c>
      <c r="L254" s="3">
        <v>242</v>
      </c>
      <c r="M254" s="2">
        <f t="shared" si="8"/>
        <v>13.790038530452197</v>
      </c>
    </row>
    <row r="255" spans="1:13" x14ac:dyDescent="0.3">
      <c r="A255" t="s">
        <v>22</v>
      </c>
      <c r="C255" t="str">
        <f t="shared" si="7"/>
        <v>McArdle_1961</v>
      </c>
      <c r="D255" s="3">
        <v>150</v>
      </c>
      <c r="F255" s="3">
        <v>3</v>
      </c>
      <c r="G255" s="3">
        <v>80</v>
      </c>
      <c r="H255" s="3">
        <v>12400</v>
      </c>
      <c r="I255" s="3">
        <v>54300</v>
      </c>
      <c r="J255" s="3">
        <v>136</v>
      </c>
      <c r="K255" s="3">
        <v>266</v>
      </c>
      <c r="L255" s="3">
        <v>207</v>
      </c>
      <c r="M255" s="2">
        <f t="shared" si="8"/>
        <v>15.349419214958987</v>
      </c>
    </row>
    <row r="256" spans="1:13" x14ac:dyDescent="0.3">
      <c r="A256" t="s">
        <v>22</v>
      </c>
      <c r="C256" t="str">
        <f t="shared" si="7"/>
        <v>McArdle_1961</v>
      </c>
      <c r="D256" s="3">
        <v>150</v>
      </c>
      <c r="F256" s="3">
        <v>3</v>
      </c>
      <c r="G256" s="3">
        <v>90</v>
      </c>
      <c r="H256" s="3">
        <v>13500</v>
      </c>
      <c r="I256" s="3">
        <v>64000</v>
      </c>
      <c r="J256" s="3">
        <v>144</v>
      </c>
      <c r="K256" s="3">
        <v>279</v>
      </c>
      <c r="L256" s="3">
        <v>180</v>
      </c>
      <c r="M256" s="2">
        <f t="shared" si="8"/>
        <v>16.857848671310453</v>
      </c>
    </row>
    <row r="257" spans="1:13" x14ac:dyDescent="0.3">
      <c r="A257" t="s">
        <v>22</v>
      </c>
      <c r="C257" t="str">
        <f t="shared" si="7"/>
        <v>McArdle_1961</v>
      </c>
      <c r="D257" s="3">
        <v>150</v>
      </c>
      <c r="F257" s="3">
        <v>3</v>
      </c>
      <c r="G257" s="3">
        <v>100</v>
      </c>
      <c r="H257" s="3">
        <v>14460</v>
      </c>
      <c r="I257" s="3">
        <v>72400</v>
      </c>
      <c r="J257" s="3">
        <v>150</v>
      </c>
      <c r="K257" s="3">
        <v>291</v>
      </c>
      <c r="L257" s="3">
        <v>161</v>
      </c>
      <c r="M257" s="2">
        <f t="shared" si="8"/>
        <v>18.204127070540682</v>
      </c>
    </row>
    <row r="258" spans="1:13" x14ac:dyDescent="0.3">
      <c r="A258" t="s">
        <v>22</v>
      </c>
      <c r="C258" t="str">
        <f t="shared" si="7"/>
        <v>McArdle_1961</v>
      </c>
      <c r="D258" s="3">
        <v>150</v>
      </c>
      <c r="F258" s="3">
        <v>3</v>
      </c>
      <c r="G258" s="3">
        <v>110</v>
      </c>
      <c r="H258" s="3">
        <v>15290</v>
      </c>
      <c r="I258" s="3">
        <v>79400</v>
      </c>
      <c r="J258" s="3">
        <v>155</v>
      </c>
      <c r="K258" s="3">
        <v>301</v>
      </c>
      <c r="L258" s="3">
        <v>146</v>
      </c>
      <c r="M258" s="2">
        <f t="shared" si="8"/>
        <v>19.442097725878643</v>
      </c>
    </row>
    <row r="259" spans="1:13" x14ac:dyDescent="0.3">
      <c r="A259" t="s">
        <v>22</v>
      </c>
      <c r="C259" t="str">
        <f t="shared" ref="C259:C322" si="9">IF(ISBLANK(B259),A259,A259&amp;"_"&amp;B259)</f>
        <v>McArdle_1961</v>
      </c>
      <c r="D259" s="3">
        <v>150</v>
      </c>
      <c r="F259" s="3">
        <v>3</v>
      </c>
      <c r="G259" s="3">
        <v>120</v>
      </c>
      <c r="H259" s="3">
        <v>15990</v>
      </c>
      <c r="I259" s="3">
        <v>85500</v>
      </c>
      <c r="J259" s="3">
        <v>160</v>
      </c>
      <c r="K259" s="3">
        <v>310</v>
      </c>
      <c r="L259" s="3">
        <v>134</v>
      </c>
      <c r="M259" s="2">
        <f t="shared" si="8"/>
        <v>20.595140052166762</v>
      </c>
    </row>
    <row r="260" spans="1:13" x14ac:dyDescent="0.3">
      <c r="A260" t="s">
        <v>22</v>
      </c>
      <c r="C260" t="str">
        <f t="shared" si="9"/>
        <v>McArdle_1961</v>
      </c>
      <c r="D260" s="3">
        <v>150</v>
      </c>
      <c r="F260" s="3">
        <v>3</v>
      </c>
      <c r="G260" s="3">
        <v>130</v>
      </c>
      <c r="H260" s="3">
        <v>16560</v>
      </c>
      <c r="I260" s="3">
        <v>91000</v>
      </c>
      <c r="J260" s="3">
        <v>163</v>
      </c>
      <c r="K260" s="3">
        <v>318</v>
      </c>
      <c r="L260" s="3">
        <v>124</v>
      </c>
      <c r="M260" s="2">
        <f t="shared" si="8"/>
        <v>21.683981060979114</v>
      </c>
    </row>
    <row r="261" spans="1:13" x14ac:dyDescent="0.3">
      <c r="A261" t="s">
        <v>22</v>
      </c>
      <c r="C261" t="str">
        <f t="shared" si="9"/>
        <v>McArdle_1961</v>
      </c>
      <c r="D261" s="3">
        <v>150</v>
      </c>
      <c r="F261" s="3">
        <v>3</v>
      </c>
      <c r="G261" s="3">
        <v>140</v>
      </c>
      <c r="H261" s="3">
        <v>17090</v>
      </c>
      <c r="I261" s="3">
        <v>95900</v>
      </c>
      <c r="J261" s="3">
        <v>166</v>
      </c>
      <c r="K261" s="3">
        <v>326</v>
      </c>
      <c r="L261" s="3">
        <v>115</v>
      </c>
      <c r="M261" s="2">
        <f t="shared" si="8"/>
        <v>22.797970205024967</v>
      </c>
    </row>
    <row r="262" spans="1:13" x14ac:dyDescent="0.3">
      <c r="A262" t="s">
        <v>22</v>
      </c>
      <c r="C262" t="str">
        <f t="shared" si="9"/>
        <v>McArdle_1961</v>
      </c>
      <c r="D262" s="3">
        <v>150</v>
      </c>
      <c r="F262" s="3">
        <v>3</v>
      </c>
      <c r="G262" s="3">
        <v>150</v>
      </c>
      <c r="H262" s="3">
        <v>17560</v>
      </c>
      <c r="I262" s="3">
        <v>100300</v>
      </c>
      <c r="J262" s="3">
        <v>168</v>
      </c>
      <c r="K262" s="3">
        <v>333</v>
      </c>
      <c r="L262" s="3">
        <v>108</v>
      </c>
      <c r="M262" s="2">
        <f t="shared" si="8"/>
        <v>23.776424222142321</v>
      </c>
    </row>
    <row r="263" spans="1:13" x14ac:dyDescent="0.3">
      <c r="A263" t="s">
        <v>22</v>
      </c>
      <c r="C263" t="str">
        <f t="shared" si="9"/>
        <v>McArdle_1961</v>
      </c>
      <c r="D263" s="3">
        <v>150</v>
      </c>
      <c r="F263" s="3">
        <v>3</v>
      </c>
      <c r="G263" s="3">
        <v>160</v>
      </c>
      <c r="H263" s="3">
        <v>18010</v>
      </c>
      <c r="I263" s="3">
        <v>104400</v>
      </c>
      <c r="J263" s="3">
        <v>170</v>
      </c>
      <c r="K263" s="3">
        <v>340</v>
      </c>
      <c r="L263" s="3">
        <v>102</v>
      </c>
      <c r="M263" s="2">
        <f t="shared" si="8"/>
        <v>24.721548731142317</v>
      </c>
    </row>
    <row r="264" spans="1:13" x14ac:dyDescent="0.3">
      <c r="A264" t="s">
        <v>22</v>
      </c>
      <c r="C264" t="str">
        <f t="shared" si="9"/>
        <v>McArdle_1961</v>
      </c>
      <c r="D264" s="3">
        <v>160</v>
      </c>
      <c r="F264" s="3">
        <v>2</v>
      </c>
      <c r="G264" s="3">
        <v>20</v>
      </c>
      <c r="H264" s="3">
        <v>1490</v>
      </c>
      <c r="J264" s="3">
        <v>42</v>
      </c>
      <c r="K264" s="3">
        <v>97</v>
      </c>
      <c r="L264" s="3">
        <v>1012</v>
      </c>
      <c r="M264" s="2">
        <f t="shared" si="8"/>
        <v>4.1921026914638393</v>
      </c>
    </row>
    <row r="265" spans="1:13" x14ac:dyDescent="0.3">
      <c r="A265" t="s">
        <v>22</v>
      </c>
      <c r="C265" t="str">
        <f t="shared" si="9"/>
        <v>McArdle_1961</v>
      </c>
      <c r="D265" s="3">
        <v>160</v>
      </c>
      <c r="F265" s="3">
        <v>2</v>
      </c>
      <c r="G265" s="3">
        <v>30</v>
      </c>
      <c r="H265" s="3">
        <v>3880</v>
      </c>
      <c r="I265" s="3">
        <v>1500</v>
      </c>
      <c r="J265" s="3">
        <v>74</v>
      </c>
      <c r="K265" s="3">
        <v>147</v>
      </c>
      <c r="L265" s="3">
        <v>640</v>
      </c>
      <c r="M265" s="2">
        <f t="shared" si="8"/>
        <v>6.4894065419248577</v>
      </c>
    </row>
    <row r="266" spans="1:13" x14ac:dyDescent="0.3">
      <c r="A266" t="s">
        <v>22</v>
      </c>
      <c r="C266" t="str">
        <f t="shared" si="9"/>
        <v>McArdle_1961</v>
      </c>
      <c r="D266" s="3">
        <v>160</v>
      </c>
      <c r="F266" s="3">
        <v>2</v>
      </c>
      <c r="G266" s="3">
        <v>40</v>
      </c>
      <c r="H266" s="3">
        <v>6100</v>
      </c>
      <c r="I266" s="3">
        <v>9000</v>
      </c>
      <c r="J266" s="3">
        <v>96</v>
      </c>
      <c r="K266" s="3">
        <v>186</v>
      </c>
      <c r="L266" s="3">
        <v>445</v>
      </c>
      <c r="M266" s="2">
        <f t="shared" ref="M266:M329" si="10">IF(NOT(OR(ISBLANK(L266),ISBLANK(K266))),SQRT((K266/L266)/0.005454154),"")</f>
        <v>8.7541255017888933</v>
      </c>
    </row>
    <row r="267" spans="1:13" x14ac:dyDescent="0.3">
      <c r="A267" t="s">
        <v>22</v>
      </c>
      <c r="C267" t="str">
        <f t="shared" si="9"/>
        <v>McArdle_1961</v>
      </c>
      <c r="D267" s="3">
        <v>160</v>
      </c>
      <c r="F267" s="3">
        <v>2</v>
      </c>
      <c r="G267" s="3">
        <v>50</v>
      </c>
      <c r="H267" s="3">
        <v>8300</v>
      </c>
      <c r="I267" s="3">
        <v>22200</v>
      </c>
      <c r="J267" s="3">
        <v>112</v>
      </c>
      <c r="K267" s="3">
        <v>214</v>
      </c>
      <c r="L267" s="3">
        <v>331</v>
      </c>
      <c r="M267" s="2">
        <f t="shared" si="10"/>
        <v>10.887525662346631</v>
      </c>
    </row>
    <row r="268" spans="1:13" x14ac:dyDescent="0.3">
      <c r="A268" t="s">
        <v>22</v>
      </c>
      <c r="C268" t="str">
        <f t="shared" si="9"/>
        <v>McArdle_1961</v>
      </c>
      <c r="D268" s="3">
        <v>160</v>
      </c>
      <c r="F268" s="3">
        <v>2</v>
      </c>
      <c r="G268" s="3">
        <v>60</v>
      </c>
      <c r="H268" s="3">
        <v>10200</v>
      </c>
      <c r="I268" s="3">
        <v>36200</v>
      </c>
      <c r="J268" s="3">
        <v>124</v>
      </c>
      <c r="K268" s="3">
        <v>237</v>
      </c>
      <c r="L268" s="3">
        <v>261</v>
      </c>
      <c r="M268" s="2">
        <f t="shared" si="10"/>
        <v>12.902985856212975</v>
      </c>
    </row>
    <row r="269" spans="1:13" x14ac:dyDescent="0.3">
      <c r="A269" t="s">
        <v>22</v>
      </c>
      <c r="C269" t="str">
        <f t="shared" si="9"/>
        <v>McArdle_1961</v>
      </c>
      <c r="D269" s="3">
        <v>160</v>
      </c>
      <c r="F269" s="3">
        <v>2</v>
      </c>
      <c r="G269" s="3">
        <v>70</v>
      </c>
      <c r="H269" s="3">
        <v>11900</v>
      </c>
      <c r="I269" s="3">
        <v>50000</v>
      </c>
      <c r="J269" s="3">
        <v>135</v>
      </c>
      <c r="K269" s="3">
        <v>256</v>
      </c>
      <c r="L269" s="3">
        <v>214</v>
      </c>
      <c r="M269" s="2">
        <f t="shared" si="10"/>
        <v>14.809806965487045</v>
      </c>
    </row>
    <row r="270" spans="1:13" x14ac:dyDescent="0.3">
      <c r="A270" t="s">
        <v>22</v>
      </c>
      <c r="C270" t="str">
        <f t="shared" si="9"/>
        <v>McArdle_1961</v>
      </c>
      <c r="D270" s="3">
        <v>160</v>
      </c>
      <c r="F270" s="3">
        <v>2</v>
      </c>
      <c r="G270" s="3">
        <v>80</v>
      </c>
      <c r="H270" s="3">
        <v>13360</v>
      </c>
      <c r="I270" s="3">
        <v>62100</v>
      </c>
      <c r="J270" s="3">
        <v>145</v>
      </c>
      <c r="K270" s="3">
        <v>271</v>
      </c>
      <c r="L270" s="3">
        <v>182</v>
      </c>
      <c r="M270" s="2">
        <f t="shared" si="10"/>
        <v>16.522861151747335</v>
      </c>
    </row>
    <row r="271" spans="1:13" x14ac:dyDescent="0.3">
      <c r="A271" t="s">
        <v>22</v>
      </c>
      <c r="C271" t="str">
        <f t="shared" si="9"/>
        <v>McArdle_1961</v>
      </c>
      <c r="D271" s="3">
        <v>160</v>
      </c>
      <c r="F271" s="3">
        <v>2</v>
      </c>
      <c r="G271" s="3">
        <v>90</v>
      </c>
      <c r="H271" s="3">
        <v>14600</v>
      </c>
      <c r="I271" s="3">
        <v>72900</v>
      </c>
      <c r="J271" s="3">
        <v>153</v>
      </c>
      <c r="K271" s="3">
        <v>285</v>
      </c>
      <c r="L271" s="3">
        <v>158</v>
      </c>
      <c r="M271" s="2">
        <f t="shared" si="10"/>
        <v>18.18570694801658</v>
      </c>
    </row>
    <row r="272" spans="1:13" x14ac:dyDescent="0.3">
      <c r="A272" t="s">
        <v>22</v>
      </c>
      <c r="C272" t="str">
        <f t="shared" si="9"/>
        <v>McArdle_1961</v>
      </c>
      <c r="D272" s="3">
        <v>160</v>
      </c>
      <c r="F272" s="3">
        <v>2</v>
      </c>
      <c r="G272" s="3">
        <v>100</v>
      </c>
      <c r="H272" s="3">
        <v>15600</v>
      </c>
      <c r="I272" s="3">
        <v>81800</v>
      </c>
      <c r="J272" s="3">
        <v>160</v>
      </c>
      <c r="K272" s="3">
        <v>297</v>
      </c>
      <c r="L272" s="3">
        <v>142</v>
      </c>
      <c r="M272" s="2">
        <f t="shared" si="10"/>
        <v>19.582600061771995</v>
      </c>
    </row>
    <row r="273" spans="1:13" x14ac:dyDescent="0.3">
      <c r="A273" t="s">
        <v>22</v>
      </c>
      <c r="C273" t="str">
        <f t="shared" si="9"/>
        <v>McArdle_1961</v>
      </c>
      <c r="D273" s="3">
        <v>160</v>
      </c>
      <c r="F273" s="3">
        <v>2</v>
      </c>
      <c r="G273" s="3">
        <v>110</v>
      </c>
      <c r="H273" s="3">
        <v>16500</v>
      </c>
      <c r="I273" s="3">
        <v>89200</v>
      </c>
      <c r="J273" s="3">
        <v>166</v>
      </c>
      <c r="K273" s="3">
        <v>307</v>
      </c>
      <c r="L273" s="3">
        <v>128</v>
      </c>
      <c r="M273" s="2">
        <f t="shared" si="10"/>
        <v>20.970100159673233</v>
      </c>
    </row>
    <row r="274" spans="1:13" x14ac:dyDescent="0.3">
      <c r="A274" t="s">
        <v>22</v>
      </c>
      <c r="C274" t="str">
        <f t="shared" si="9"/>
        <v>McArdle_1961</v>
      </c>
      <c r="D274" s="3">
        <v>160</v>
      </c>
      <c r="F274" s="3">
        <v>2</v>
      </c>
      <c r="G274" s="3">
        <v>120</v>
      </c>
      <c r="H274" s="3">
        <v>17240</v>
      </c>
      <c r="I274" s="3">
        <v>95500</v>
      </c>
      <c r="J274" s="3">
        <v>170</v>
      </c>
      <c r="K274" s="3">
        <v>316</v>
      </c>
      <c r="L274" s="3">
        <v>116</v>
      </c>
      <c r="M274" s="2">
        <f t="shared" si="10"/>
        <v>22.348627072303483</v>
      </c>
    </row>
    <row r="275" spans="1:13" x14ac:dyDescent="0.3">
      <c r="A275" t="s">
        <v>22</v>
      </c>
      <c r="C275" t="str">
        <f t="shared" si="9"/>
        <v>McArdle_1961</v>
      </c>
      <c r="D275" s="3">
        <v>160</v>
      </c>
      <c r="F275" s="3">
        <v>2</v>
      </c>
      <c r="G275" s="3">
        <v>130</v>
      </c>
      <c r="H275" s="3">
        <v>17870</v>
      </c>
      <c r="I275" s="3">
        <v>101100</v>
      </c>
      <c r="J275" s="3">
        <v>174</v>
      </c>
      <c r="K275" s="3">
        <v>325</v>
      </c>
      <c r="L275" s="3">
        <v>108</v>
      </c>
      <c r="M275" s="2">
        <f t="shared" si="10"/>
        <v>23.489085278032704</v>
      </c>
    </row>
    <row r="276" spans="1:13" x14ac:dyDescent="0.3">
      <c r="A276" t="s">
        <v>22</v>
      </c>
      <c r="C276" t="str">
        <f t="shared" si="9"/>
        <v>McArdle_1961</v>
      </c>
      <c r="D276" s="3">
        <v>160</v>
      </c>
      <c r="F276" s="3">
        <v>2</v>
      </c>
      <c r="G276" s="3">
        <v>140</v>
      </c>
      <c r="H276" s="3">
        <v>18410</v>
      </c>
      <c r="I276" s="3">
        <v>106200</v>
      </c>
      <c r="J276" s="3">
        <v>177</v>
      </c>
      <c r="K276" s="3">
        <v>333</v>
      </c>
      <c r="L276" s="3">
        <v>101</v>
      </c>
      <c r="M276" s="2">
        <f t="shared" si="10"/>
        <v>24.586557880485699</v>
      </c>
    </row>
    <row r="277" spans="1:13" x14ac:dyDescent="0.3">
      <c r="A277" t="s">
        <v>22</v>
      </c>
      <c r="C277" t="str">
        <f t="shared" si="9"/>
        <v>McArdle_1961</v>
      </c>
      <c r="D277" s="3">
        <v>160</v>
      </c>
      <c r="F277" s="3">
        <v>2</v>
      </c>
      <c r="G277" s="3">
        <v>150</v>
      </c>
      <c r="H277" s="3">
        <v>18910</v>
      </c>
      <c r="I277" s="3">
        <v>111000</v>
      </c>
      <c r="J277" s="3">
        <v>179</v>
      </c>
      <c r="K277" s="3">
        <v>340</v>
      </c>
      <c r="L277" s="3">
        <v>95</v>
      </c>
      <c r="M277" s="2">
        <f t="shared" si="10"/>
        <v>25.616155903310403</v>
      </c>
    </row>
    <row r="278" spans="1:13" x14ac:dyDescent="0.3">
      <c r="A278" t="s">
        <v>22</v>
      </c>
      <c r="C278" t="str">
        <f t="shared" si="9"/>
        <v>McArdle_1961</v>
      </c>
      <c r="D278" s="3">
        <v>160</v>
      </c>
      <c r="F278" s="3">
        <v>2</v>
      </c>
      <c r="G278" s="3">
        <v>160</v>
      </c>
      <c r="H278" s="3">
        <v>19880</v>
      </c>
      <c r="I278" s="3">
        <v>115400</v>
      </c>
      <c r="J278" s="3">
        <v>181</v>
      </c>
      <c r="K278" s="3">
        <v>347</v>
      </c>
      <c r="L278" s="3">
        <v>90</v>
      </c>
      <c r="M278" s="2">
        <f t="shared" si="10"/>
        <v>26.587639682641178</v>
      </c>
    </row>
    <row r="279" spans="1:13" x14ac:dyDescent="0.3">
      <c r="A279" t="s">
        <v>22</v>
      </c>
      <c r="C279" t="str">
        <f t="shared" si="9"/>
        <v>McArdle_1961</v>
      </c>
      <c r="D279" s="3">
        <v>170</v>
      </c>
      <c r="F279" s="3">
        <v>2</v>
      </c>
      <c r="G279" s="3">
        <v>20</v>
      </c>
      <c r="H279" s="3">
        <v>1550</v>
      </c>
      <c r="J279" s="3">
        <v>44</v>
      </c>
      <c r="K279" s="3">
        <v>98</v>
      </c>
      <c r="L279" s="3">
        <v>880</v>
      </c>
      <c r="M279" s="2">
        <f t="shared" si="10"/>
        <v>4.5186427174474018</v>
      </c>
    </row>
    <row r="280" spans="1:13" x14ac:dyDescent="0.3">
      <c r="A280" t="s">
        <v>22</v>
      </c>
      <c r="C280" t="str">
        <f t="shared" si="9"/>
        <v>McArdle_1961</v>
      </c>
      <c r="D280" s="3">
        <v>170</v>
      </c>
      <c r="F280" s="3">
        <v>2</v>
      </c>
      <c r="G280" s="3">
        <v>30</v>
      </c>
      <c r="H280" s="3">
        <v>4110</v>
      </c>
      <c r="I280" s="3">
        <v>2600</v>
      </c>
      <c r="J280" s="3">
        <v>78</v>
      </c>
      <c r="K280" s="3">
        <v>150</v>
      </c>
      <c r="L280" s="3">
        <v>555</v>
      </c>
      <c r="M280" s="2">
        <f t="shared" si="10"/>
        <v>7.0393966936646333</v>
      </c>
    </row>
    <row r="281" spans="1:13" x14ac:dyDescent="0.3">
      <c r="A281" t="s">
        <v>22</v>
      </c>
      <c r="C281" t="str">
        <f t="shared" si="9"/>
        <v>McArdle_1961</v>
      </c>
      <c r="D281" s="3">
        <v>170</v>
      </c>
      <c r="F281" s="3">
        <v>2</v>
      </c>
      <c r="G281" s="3">
        <v>40</v>
      </c>
      <c r="H281" s="3">
        <v>6550</v>
      </c>
      <c r="I281" s="3">
        <v>11900</v>
      </c>
      <c r="J281" s="3">
        <v>102</v>
      </c>
      <c r="K281" s="3">
        <v>189</v>
      </c>
      <c r="L281" s="3">
        <v>385</v>
      </c>
      <c r="M281" s="2">
        <f t="shared" si="10"/>
        <v>9.4871734180194132</v>
      </c>
    </row>
    <row r="282" spans="1:13" x14ac:dyDescent="0.3">
      <c r="A282" t="s">
        <v>22</v>
      </c>
      <c r="C282" t="str">
        <f t="shared" si="9"/>
        <v>McArdle_1961</v>
      </c>
      <c r="D282" s="3">
        <v>170</v>
      </c>
      <c r="F282" s="3">
        <v>2</v>
      </c>
      <c r="G282" s="3">
        <v>50</v>
      </c>
      <c r="H282" s="3">
        <v>8840</v>
      </c>
      <c r="I282" s="3">
        <v>27400</v>
      </c>
      <c r="J282" s="3">
        <v>119</v>
      </c>
      <c r="K282" s="3">
        <v>217</v>
      </c>
      <c r="L282" s="3">
        <v>290</v>
      </c>
      <c r="M282" s="2">
        <f t="shared" si="10"/>
        <v>11.712973746422723</v>
      </c>
    </row>
    <row r="283" spans="1:13" x14ac:dyDescent="0.3">
      <c r="A283" t="s">
        <v>22</v>
      </c>
      <c r="C283" t="str">
        <f t="shared" si="9"/>
        <v>McArdle_1961</v>
      </c>
      <c r="D283" s="3">
        <v>170</v>
      </c>
      <c r="F283" s="3">
        <v>2</v>
      </c>
      <c r="G283" s="3">
        <v>60</v>
      </c>
      <c r="H283" s="3">
        <v>10860</v>
      </c>
      <c r="I283" s="3">
        <v>42800</v>
      </c>
      <c r="J283" s="3">
        <v>132</v>
      </c>
      <c r="K283" s="3">
        <v>241</v>
      </c>
      <c r="L283" s="3">
        <v>228</v>
      </c>
      <c r="M283" s="2">
        <f t="shared" si="10"/>
        <v>13.921223298276633</v>
      </c>
    </row>
    <row r="284" spans="1:13" x14ac:dyDescent="0.3">
      <c r="A284" t="s">
        <v>22</v>
      </c>
      <c r="C284" t="str">
        <f t="shared" si="9"/>
        <v>McArdle_1961</v>
      </c>
      <c r="D284" s="3">
        <v>170</v>
      </c>
      <c r="F284" s="3">
        <v>2</v>
      </c>
      <c r="G284" s="3">
        <v>70</v>
      </c>
      <c r="H284" s="3">
        <v>12660</v>
      </c>
      <c r="I284" s="3">
        <v>57200</v>
      </c>
      <c r="J284" s="3">
        <v>144</v>
      </c>
      <c r="K284" s="3">
        <v>260</v>
      </c>
      <c r="L284" s="3">
        <v>186</v>
      </c>
      <c r="M284" s="2">
        <f t="shared" si="10"/>
        <v>16.009084751156617</v>
      </c>
    </row>
    <row r="285" spans="1:13" x14ac:dyDescent="0.3">
      <c r="A285" t="s">
        <v>22</v>
      </c>
      <c r="C285" t="str">
        <f t="shared" si="9"/>
        <v>McArdle_1961</v>
      </c>
      <c r="D285" s="3">
        <v>170</v>
      </c>
      <c r="F285" s="3">
        <v>2</v>
      </c>
      <c r="G285" s="3">
        <v>80</v>
      </c>
      <c r="H285" s="3">
        <v>14220</v>
      </c>
      <c r="I285" s="3">
        <v>70000</v>
      </c>
      <c r="J285" s="3">
        <v>154</v>
      </c>
      <c r="K285" s="3">
        <v>276</v>
      </c>
      <c r="L285" s="3">
        <v>159</v>
      </c>
      <c r="M285" s="2">
        <f t="shared" si="10"/>
        <v>17.839894458815245</v>
      </c>
    </row>
    <row r="286" spans="1:13" x14ac:dyDescent="0.3">
      <c r="A286" t="s">
        <v>22</v>
      </c>
      <c r="C286" t="str">
        <f t="shared" si="9"/>
        <v>McArdle_1961</v>
      </c>
      <c r="D286" s="3">
        <v>170</v>
      </c>
      <c r="F286" s="3">
        <v>2</v>
      </c>
      <c r="G286" s="3">
        <v>90</v>
      </c>
      <c r="H286" s="3">
        <v>15540</v>
      </c>
      <c r="I286" s="3">
        <v>81000</v>
      </c>
      <c r="J286" s="3">
        <v>163</v>
      </c>
      <c r="K286" s="3">
        <v>290</v>
      </c>
      <c r="L286" s="3">
        <v>138</v>
      </c>
      <c r="M286" s="2">
        <f t="shared" si="10"/>
        <v>19.62889074050371</v>
      </c>
    </row>
    <row r="287" spans="1:13" x14ac:dyDescent="0.3">
      <c r="A287" t="s">
        <v>22</v>
      </c>
      <c r="C287" t="str">
        <f t="shared" si="9"/>
        <v>McArdle_1961</v>
      </c>
      <c r="D287" s="3">
        <v>170</v>
      </c>
      <c r="F287" s="3">
        <v>2</v>
      </c>
      <c r="G287" s="3">
        <v>100</v>
      </c>
      <c r="H287" s="3">
        <v>16610</v>
      </c>
      <c r="I287" s="3">
        <v>90400</v>
      </c>
      <c r="J287" s="3">
        <v>170</v>
      </c>
      <c r="K287" s="3">
        <v>302</v>
      </c>
      <c r="L287" s="3">
        <v>123</v>
      </c>
      <c r="M287" s="2">
        <f t="shared" si="10"/>
        <v>21.217158348800218</v>
      </c>
    </row>
    <row r="288" spans="1:13" x14ac:dyDescent="0.3">
      <c r="A288" t="s">
        <v>22</v>
      </c>
      <c r="C288" t="str">
        <f t="shared" si="9"/>
        <v>McArdle_1961</v>
      </c>
      <c r="D288" s="3">
        <v>170</v>
      </c>
      <c r="F288" s="3">
        <v>2</v>
      </c>
      <c r="G288" s="3">
        <v>110</v>
      </c>
      <c r="H288" s="3">
        <v>17550</v>
      </c>
      <c r="I288" s="3">
        <v>98300</v>
      </c>
      <c r="J288" s="3">
        <v>176</v>
      </c>
      <c r="K288" s="3">
        <v>313</v>
      </c>
      <c r="L288" s="3">
        <v>111</v>
      </c>
      <c r="M288" s="2">
        <f t="shared" si="10"/>
        <v>22.737723514586261</v>
      </c>
    </row>
    <row r="289" spans="1:13" x14ac:dyDescent="0.3">
      <c r="A289" t="s">
        <v>22</v>
      </c>
      <c r="C289" t="str">
        <f t="shared" si="9"/>
        <v>McArdle_1961</v>
      </c>
      <c r="D289" s="3">
        <v>170</v>
      </c>
      <c r="F289" s="3">
        <v>2</v>
      </c>
      <c r="G289" s="3">
        <v>120</v>
      </c>
      <c r="H289" s="3">
        <v>18340</v>
      </c>
      <c r="I289" s="3">
        <v>105100</v>
      </c>
      <c r="J289" s="3">
        <v>181</v>
      </c>
      <c r="K289" s="3">
        <v>322</v>
      </c>
      <c r="L289" s="3">
        <v>101</v>
      </c>
      <c r="M289" s="2">
        <f t="shared" si="10"/>
        <v>24.177063482630814</v>
      </c>
    </row>
    <row r="290" spans="1:13" x14ac:dyDescent="0.3">
      <c r="A290" t="s">
        <v>22</v>
      </c>
      <c r="C290" t="str">
        <f t="shared" si="9"/>
        <v>McArdle_1961</v>
      </c>
      <c r="D290" s="3">
        <v>170</v>
      </c>
      <c r="F290" s="3">
        <v>2</v>
      </c>
      <c r="G290" s="3">
        <v>130</v>
      </c>
      <c r="H290" s="3">
        <v>19000</v>
      </c>
      <c r="I290" s="3">
        <v>111000</v>
      </c>
      <c r="J290" s="3">
        <v>185</v>
      </c>
      <c r="K290" s="3">
        <v>331</v>
      </c>
      <c r="L290" s="3">
        <v>94</v>
      </c>
      <c r="M290" s="2">
        <f t="shared" si="10"/>
        <v>25.408929718317633</v>
      </c>
    </row>
    <row r="291" spans="1:13" x14ac:dyDescent="0.3">
      <c r="A291" t="s">
        <v>22</v>
      </c>
      <c r="C291" t="str">
        <f t="shared" si="9"/>
        <v>McArdle_1961</v>
      </c>
      <c r="D291" s="3">
        <v>170</v>
      </c>
      <c r="F291" s="3">
        <v>2</v>
      </c>
      <c r="G291" s="3">
        <v>140</v>
      </c>
      <c r="H291" s="3">
        <v>19590</v>
      </c>
      <c r="I291" s="3">
        <v>116300</v>
      </c>
      <c r="J291" s="3">
        <v>188</v>
      </c>
      <c r="K291" s="3">
        <v>338</v>
      </c>
      <c r="L291" s="3">
        <v>88</v>
      </c>
      <c r="M291" s="2">
        <f t="shared" si="10"/>
        <v>26.537091136523419</v>
      </c>
    </row>
    <row r="292" spans="1:13" x14ac:dyDescent="0.3">
      <c r="A292" t="s">
        <v>22</v>
      </c>
      <c r="C292" t="str">
        <f t="shared" si="9"/>
        <v>McArdle_1961</v>
      </c>
      <c r="D292" s="3">
        <v>170</v>
      </c>
      <c r="F292" s="3">
        <v>2</v>
      </c>
      <c r="G292" s="3">
        <v>150</v>
      </c>
      <c r="H292" s="3">
        <v>20130</v>
      </c>
      <c r="I292" s="3">
        <v>121200</v>
      </c>
      <c r="J292" s="3">
        <v>190</v>
      </c>
      <c r="K292" s="3">
        <v>346</v>
      </c>
      <c r="L292" s="3">
        <v>82</v>
      </c>
      <c r="M292" s="2">
        <f t="shared" si="10"/>
        <v>27.814254561582963</v>
      </c>
    </row>
    <row r="293" spans="1:13" x14ac:dyDescent="0.3">
      <c r="A293" t="s">
        <v>22</v>
      </c>
      <c r="C293" t="str">
        <f t="shared" si="9"/>
        <v>McArdle_1961</v>
      </c>
      <c r="D293" s="3">
        <v>170</v>
      </c>
      <c r="F293" s="3">
        <v>2</v>
      </c>
      <c r="G293" s="3">
        <v>160</v>
      </c>
      <c r="H293" s="3">
        <v>20650</v>
      </c>
      <c r="I293" s="3">
        <v>125700</v>
      </c>
      <c r="J293" s="3">
        <v>192</v>
      </c>
      <c r="K293" s="3">
        <v>353</v>
      </c>
      <c r="L293" s="3">
        <v>78</v>
      </c>
      <c r="M293" s="2">
        <f t="shared" si="10"/>
        <v>28.805562029565927</v>
      </c>
    </row>
    <row r="294" spans="1:13" x14ac:dyDescent="0.3">
      <c r="A294" t="s">
        <v>22</v>
      </c>
      <c r="C294" t="str">
        <f t="shared" si="9"/>
        <v>McArdle_1961</v>
      </c>
      <c r="D294" s="3">
        <v>180</v>
      </c>
      <c r="F294" s="3">
        <v>2</v>
      </c>
      <c r="G294" s="3">
        <v>20</v>
      </c>
      <c r="H294" s="3">
        <v>1650</v>
      </c>
      <c r="J294" s="3">
        <v>47</v>
      </c>
      <c r="K294" s="3">
        <v>99</v>
      </c>
      <c r="L294" s="3">
        <v>756</v>
      </c>
      <c r="M294" s="2">
        <f t="shared" si="10"/>
        <v>4.8999652653027947</v>
      </c>
    </row>
    <row r="295" spans="1:13" x14ac:dyDescent="0.3">
      <c r="A295" t="s">
        <v>22</v>
      </c>
      <c r="C295" t="str">
        <f t="shared" si="9"/>
        <v>McArdle_1961</v>
      </c>
      <c r="D295" s="3">
        <v>180</v>
      </c>
      <c r="F295" s="3">
        <v>2</v>
      </c>
      <c r="G295" s="3">
        <v>30</v>
      </c>
      <c r="H295" s="3">
        <v>4330</v>
      </c>
      <c r="I295" s="3">
        <v>4000</v>
      </c>
      <c r="J295" s="3">
        <v>83</v>
      </c>
      <c r="K295" s="3">
        <v>152</v>
      </c>
      <c r="L295" s="3">
        <v>483</v>
      </c>
      <c r="M295" s="2">
        <f t="shared" si="10"/>
        <v>7.5959925562808444</v>
      </c>
    </row>
    <row r="296" spans="1:13" x14ac:dyDescent="0.3">
      <c r="A296" t="s">
        <v>22</v>
      </c>
      <c r="C296" t="str">
        <f t="shared" si="9"/>
        <v>McArdle_1961</v>
      </c>
      <c r="D296" s="3">
        <v>180</v>
      </c>
      <c r="F296" s="3">
        <v>2</v>
      </c>
      <c r="G296" s="3">
        <v>40</v>
      </c>
      <c r="H296" s="3">
        <v>6900</v>
      </c>
      <c r="I296" s="3">
        <v>15500</v>
      </c>
      <c r="J296" s="3">
        <v>108</v>
      </c>
      <c r="K296" s="3">
        <v>191</v>
      </c>
      <c r="L296" s="3">
        <v>335</v>
      </c>
      <c r="M296" s="2">
        <f t="shared" si="10"/>
        <v>10.224229325622192</v>
      </c>
    </row>
    <row r="297" spans="1:13" x14ac:dyDescent="0.3">
      <c r="A297" t="s">
        <v>22</v>
      </c>
      <c r="C297" t="str">
        <f t="shared" si="9"/>
        <v>McArdle_1961</v>
      </c>
      <c r="D297" s="3">
        <v>180</v>
      </c>
      <c r="F297" s="3">
        <v>2</v>
      </c>
      <c r="G297" s="3">
        <v>50</v>
      </c>
      <c r="H297" s="3">
        <v>9320</v>
      </c>
      <c r="I297" s="3">
        <v>32700</v>
      </c>
      <c r="J297" s="3">
        <v>125</v>
      </c>
      <c r="K297" s="3">
        <v>220</v>
      </c>
      <c r="L297" s="3">
        <v>248</v>
      </c>
      <c r="M297" s="2">
        <f t="shared" si="10"/>
        <v>12.753277271715001</v>
      </c>
    </row>
    <row r="298" spans="1:13" x14ac:dyDescent="0.3">
      <c r="A298" t="s">
        <v>22</v>
      </c>
      <c r="C298" t="str">
        <f t="shared" si="9"/>
        <v>McArdle_1961</v>
      </c>
      <c r="D298" s="3">
        <v>180</v>
      </c>
      <c r="F298" s="3">
        <v>2</v>
      </c>
      <c r="G298" s="3">
        <v>60</v>
      </c>
      <c r="H298" s="3">
        <v>11450</v>
      </c>
      <c r="I298" s="3">
        <v>49300</v>
      </c>
      <c r="J298" s="3">
        <v>140</v>
      </c>
      <c r="K298" s="3">
        <v>244</v>
      </c>
      <c r="L298" s="3">
        <v>195</v>
      </c>
      <c r="M298" s="2">
        <f t="shared" si="10"/>
        <v>15.146556505665856</v>
      </c>
    </row>
    <row r="299" spans="1:13" x14ac:dyDescent="0.3">
      <c r="A299" t="s">
        <v>22</v>
      </c>
      <c r="C299" t="str">
        <f t="shared" si="9"/>
        <v>McArdle_1961</v>
      </c>
      <c r="D299" s="3">
        <v>180</v>
      </c>
      <c r="F299" s="3">
        <v>2</v>
      </c>
      <c r="G299" s="3">
        <v>70</v>
      </c>
      <c r="H299" s="3">
        <v>13300</v>
      </c>
      <c r="I299" s="3">
        <v>64600</v>
      </c>
      <c r="J299" s="3">
        <v>152</v>
      </c>
      <c r="K299" s="3">
        <v>264</v>
      </c>
      <c r="L299" s="3">
        <v>160</v>
      </c>
      <c r="M299" s="2">
        <f t="shared" si="10"/>
        <v>17.393151266368925</v>
      </c>
    </row>
    <row r="300" spans="1:13" x14ac:dyDescent="0.3">
      <c r="A300" t="s">
        <v>22</v>
      </c>
      <c r="C300" t="str">
        <f t="shared" si="9"/>
        <v>McArdle_1961</v>
      </c>
      <c r="D300" s="3">
        <v>180</v>
      </c>
      <c r="F300" s="3">
        <v>2</v>
      </c>
      <c r="G300" s="3">
        <v>80</v>
      </c>
      <c r="H300" s="3">
        <v>14990</v>
      </c>
      <c r="I300" s="3">
        <v>78000</v>
      </c>
      <c r="J300" s="3">
        <v>163</v>
      </c>
      <c r="K300" s="3">
        <v>280</v>
      </c>
      <c r="L300" s="3">
        <v>136</v>
      </c>
      <c r="M300" s="2">
        <f t="shared" si="10"/>
        <v>19.428794886328724</v>
      </c>
    </row>
    <row r="301" spans="1:13" x14ac:dyDescent="0.3">
      <c r="A301" t="s">
        <v>22</v>
      </c>
      <c r="C301" t="str">
        <f t="shared" si="9"/>
        <v>McArdle_1961</v>
      </c>
      <c r="D301" s="3">
        <v>180</v>
      </c>
      <c r="F301" s="3">
        <v>2</v>
      </c>
      <c r="G301" s="3">
        <v>90</v>
      </c>
      <c r="H301" s="3">
        <v>16400</v>
      </c>
      <c r="I301" s="3">
        <v>89210</v>
      </c>
      <c r="J301" s="3">
        <v>172</v>
      </c>
      <c r="K301" s="3">
        <v>294</v>
      </c>
      <c r="L301" s="3">
        <v>118</v>
      </c>
      <c r="M301" s="2">
        <f t="shared" si="10"/>
        <v>21.373171148040086</v>
      </c>
    </row>
    <row r="302" spans="1:13" x14ac:dyDescent="0.3">
      <c r="A302" t="s">
        <v>22</v>
      </c>
      <c r="C302" t="str">
        <f t="shared" si="9"/>
        <v>McArdle_1961</v>
      </c>
      <c r="D302" s="3">
        <v>180</v>
      </c>
      <c r="F302" s="3">
        <v>2</v>
      </c>
      <c r="G302" s="3">
        <v>100</v>
      </c>
      <c r="H302" s="3">
        <v>17550</v>
      </c>
      <c r="I302" s="3">
        <v>98900</v>
      </c>
      <c r="J302" s="3">
        <v>180</v>
      </c>
      <c r="K302" s="3">
        <v>306</v>
      </c>
      <c r="L302" s="3">
        <v>106</v>
      </c>
      <c r="M302" s="2">
        <f t="shared" si="10"/>
        <v>23.006157173998631</v>
      </c>
    </row>
    <row r="303" spans="1:13" x14ac:dyDescent="0.3">
      <c r="A303" t="s">
        <v>22</v>
      </c>
      <c r="C303" t="str">
        <f t="shared" si="9"/>
        <v>McArdle_1961</v>
      </c>
      <c r="D303" s="3">
        <v>180</v>
      </c>
      <c r="F303" s="3">
        <v>2</v>
      </c>
      <c r="G303" s="3">
        <v>110</v>
      </c>
      <c r="H303" s="3">
        <v>18510</v>
      </c>
      <c r="I303" s="3">
        <v>107000</v>
      </c>
      <c r="J303" s="3">
        <v>187</v>
      </c>
      <c r="K303" s="3">
        <v>317</v>
      </c>
      <c r="L303" s="3">
        <v>95</v>
      </c>
      <c r="M303" s="2">
        <f t="shared" si="10"/>
        <v>24.734556650343482</v>
      </c>
    </row>
    <row r="304" spans="1:13" x14ac:dyDescent="0.3">
      <c r="A304" t="s">
        <v>22</v>
      </c>
      <c r="C304" t="str">
        <f t="shared" si="9"/>
        <v>McArdle_1961</v>
      </c>
      <c r="D304" s="3">
        <v>180</v>
      </c>
      <c r="F304" s="3">
        <v>2</v>
      </c>
      <c r="G304" s="3">
        <v>120</v>
      </c>
      <c r="H304" s="3">
        <v>19320</v>
      </c>
      <c r="I304" s="3">
        <v>114100</v>
      </c>
      <c r="J304" s="3">
        <v>192</v>
      </c>
      <c r="K304" s="3">
        <v>326</v>
      </c>
      <c r="L304" s="3">
        <v>87</v>
      </c>
      <c r="M304" s="2">
        <f t="shared" si="10"/>
        <v>26.211113776227247</v>
      </c>
    </row>
    <row r="305" spans="1:13" x14ac:dyDescent="0.3">
      <c r="A305" t="s">
        <v>22</v>
      </c>
      <c r="C305" t="str">
        <f t="shared" si="9"/>
        <v>McArdle_1961</v>
      </c>
      <c r="D305" s="3">
        <v>180</v>
      </c>
      <c r="F305" s="3">
        <v>2</v>
      </c>
      <c r="G305" s="3">
        <v>130</v>
      </c>
      <c r="H305" s="3">
        <v>20000</v>
      </c>
      <c r="I305" s="3">
        <v>120000</v>
      </c>
      <c r="J305" s="3">
        <v>196</v>
      </c>
      <c r="K305" s="3">
        <v>335</v>
      </c>
      <c r="L305" s="3">
        <v>80</v>
      </c>
      <c r="M305" s="2">
        <f t="shared" si="10"/>
        <v>27.708544407018557</v>
      </c>
    </row>
    <row r="306" spans="1:13" x14ac:dyDescent="0.3">
      <c r="A306" t="s">
        <v>22</v>
      </c>
      <c r="C306" t="str">
        <f t="shared" si="9"/>
        <v>McArdle_1961</v>
      </c>
      <c r="D306" s="3">
        <v>180</v>
      </c>
      <c r="F306" s="3">
        <v>2</v>
      </c>
      <c r="G306" s="3">
        <v>140</v>
      </c>
      <c r="H306" s="3">
        <v>20640</v>
      </c>
      <c r="I306" s="3">
        <v>125500</v>
      </c>
      <c r="J306" s="3">
        <v>199</v>
      </c>
      <c r="K306" s="3">
        <v>343</v>
      </c>
      <c r="L306" s="3">
        <v>75</v>
      </c>
      <c r="M306" s="2">
        <f t="shared" si="10"/>
        <v>28.956944264305363</v>
      </c>
    </row>
    <row r="307" spans="1:13" x14ac:dyDescent="0.3">
      <c r="A307" t="s">
        <v>22</v>
      </c>
      <c r="C307" t="str">
        <f t="shared" si="9"/>
        <v>McArdle_1961</v>
      </c>
      <c r="D307" s="3">
        <v>180</v>
      </c>
      <c r="F307" s="3">
        <v>2</v>
      </c>
      <c r="G307" s="3">
        <v>150</v>
      </c>
      <c r="H307" s="3">
        <v>21270</v>
      </c>
      <c r="I307" s="3">
        <v>130700</v>
      </c>
      <c r="J307" s="3">
        <v>201</v>
      </c>
      <c r="K307" s="3">
        <v>351</v>
      </c>
      <c r="L307" s="3">
        <v>71</v>
      </c>
      <c r="M307" s="2">
        <f t="shared" si="10"/>
        <v>30.106528821778124</v>
      </c>
    </row>
    <row r="308" spans="1:13" x14ac:dyDescent="0.3">
      <c r="A308" t="s">
        <v>22</v>
      </c>
      <c r="C308" t="str">
        <f t="shared" si="9"/>
        <v>McArdle_1961</v>
      </c>
      <c r="D308" s="3">
        <v>180</v>
      </c>
      <c r="F308" s="3">
        <v>2</v>
      </c>
      <c r="G308" s="3">
        <v>160</v>
      </c>
      <c r="H308" s="3">
        <v>21820</v>
      </c>
      <c r="I308" s="3">
        <v>138400</v>
      </c>
      <c r="J308" s="3">
        <v>203</v>
      </c>
      <c r="K308" s="3">
        <v>357</v>
      </c>
      <c r="L308" s="3">
        <v>67</v>
      </c>
      <c r="M308" s="2">
        <f t="shared" si="10"/>
        <v>31.255971958435225</v>
      </c>
    </row>
    <row r="309" spans="1:13" x14ac:dyDescent="0.3">
      <c r="A309" t="s">
        <v>22</v>
      </c>
      <c r="C309" t="str">
        <f t="shared" si="9"/>
        <v>McArdle_1961</v>
      </c>
      <c r="D309" s="3">
        <v>190</v>
      </c>
      <c r="F309" s="3">
        <v>1</v>
      </c>
      <c r="G309" s="3">
        <v>20</v>
      </c>
      <c r="H309" s="3">
        <v>1730</v>
      </c>
      <c r="J309" s="3">
        <v>49</v>
      </c>
      <c r="K309" s="3">
        <v>100</v>
      </c>
      <c r="L309" s="3">
        <v>654</v>
      </c>
      <c r="M309" s="2">
        <f t="shared" si="10"/>
        <v>5.2947740015801781</v>
      </c>
    </row>
    <row r="310" spans="1:13" x14ac:dyDescent="0.3">
      <c r="A310" t="s">
        <v>22</v>
      </c>
      <c r="C310" t="str">
        <f t="shared" si="9"/>
        <v>McArdle_1961</v>
      </c>
      <c r="D310" s="3">
        <v>190</v>
      </c>
      <c r="F310" s="3">
        <v>1</v>
      </c>
      <c r="G310" s="3">
        <v>30</v>
      </c>
      <c r="H310" s="3">
        <v>4530</v>
      </c>
      <c r="I310" s="3">
        <v>6000</v>
      </c>
      <c r="J310" s="3">
        <v>88</v>
      </c>
      <c r="K310" s="3">
        <v>153</v>
      </c>
      <c r="L310" s="3">
        <v>408</v>
      </c>
      <c r="M310" s="2">
        <f t="shared" si="10"/>
        <v>8.2918595207861845</v>
      </c>
    </row>
    <row r="311" spans="1:13" x14ac:dyDescent="0.3">
      <c r="A311" t="s">
        <v>22</v>
      </c>
      <c r="C311" t="str">
        <f t="shared" si="9"/>
        <v>McArdle_1961</v>
      </c>
      <c r="D311" s="3">
        <v>190</v>
      </c>
      <c r="F311" s="3">
        <v>1</v>
      </c>
      <c r="G311" s="3">
        <v>40</v>
      </c>
      <c r="H311" s="3">
        <v>7220</v>
      </c>
      <c r="I311" s="3">
        <v>19600</v>
      </c>
      <c r="J311" s="3">
        <v>114</v>
      </c>
      <c r="K311" s="3">
        <v>193</v>
      </c>
      <c r="L311" s="3">
        <v>282</v>
      </c>
      <c r="M311" s="2">
        <f t="shared" si="10"/>
        <v>11.201866748476457</v>
      </c>
    </row>
    <row r="312" spans="1:13" x14ac:dyDescent="0.3">
      <c r="A312" t="s">
        <v>22</v>
      </c>
      <c r="C312" t="str">
        <f t="shared" si="9"/>
        <v>McArdle_1961</v>
      </c>
      <c r="D312" s="3">
        <v>190</v>
      </c>
      <c r="F312" s="3">
        <v>1</v>
      </c>
      <c r="G312" s="3">
        <v>50</v>
      </c>
      <c r="H312" s="3">
        <v>9770</v>
      </c>
      <c r="I312" s="3">
        <v>38400</v>
      </c>
      <c r="J312" s="3">
        <v>132</v>
      </c>
      <c r="K312" s="3">
        <v>222</v>
      </c>
      <c r="L312" s="3">
        <v>208</v>
      </c>
      <c r="M312" s="2">
        <f t="shared" si="10"/>
        <v>13.988821277557367</v>
      </c>
    </row>
    <row r="313" spans="1:13" x14ac:dyDescent="0.3">
      <c r="A313" t="s">
        <v>22</v>
      </c>
      <c r="C313" t="str">
        <f t="shared" si="9"/>
        <v>McArdle_1961</v>
      </c>
      <c r="D313" s="3">
        <v>190</v>
      </c>
      <c r="F313" s="3">
        <v>1</v>
      </c>
      <c r="G313" s="3">
        <v>60</v>
      </c>
      <c r="H313" s="3">
        <v>12000</v>
      </c>
      <c r="I313" s="3">
        <v>55900</v>
      </c>
      <c r="J313" s="3">
        <v>148</v>
      </c>
      <c r="K313" s="3">
        <v>246</v>
      </c>
      <c r="L313" s="3">
        <v>164</v>
      </c>
      <c r="M313" s="2">
        <f t="shared" si="10"/>
        <v>16.583719041572369</v>
      </c>
    </row>
    <row r="314" spans="1:13" x14ac:dyDescent="0.3">
      <c r="A314" t="s">
        <v>22</v>
      </c>
      <c r="C314" t="str">
        <f t="shared" si="9"/>
        <v>McArdle_1961</v>
      </c>
      <c r="D314" s="3">
        <v>190</v>
      </c>
      <c r="F314" s="3">
        <v>1</v>
      </c>
      <c r="G314" s="3">
        <v>70</v>
      </c>
      <c r="H314" s="3">
        <v>13950</v>
      </c>
      <c r="I314" s="3">
        <v>71500</v>
      </c>
      <c r="J314" s="3">
        <v>161</v>
      </c>
      <c r="K314" s="3">
        <v>266</v>
      </c>
      <c r="L314" s="3">
        <v>135</v>
      </c>
      <c r="M314" s="2">
        <f t="shared" si="10"/>
        <v>19.006853878606879</v>
      </c>
    </row>
    <row r="315" spans="1:13" x14ac:dyDescent="0.3">
      <c r="A315" t="s">
        <v>22</v>
      </c>
      <c r="C315" t="str">
        <f t="shared" si="9"/>
        <v>McArdle_1961</v>
      </c>
      <c r="D315" s="3">
        <v>190</v>
      </c>
      <c r="F315" s="3">
        <v>1</v>
      </c>
      <c r="G315" s="3">
        <v>80</v>
      </c>
      <c r="H315" s="3">
        <v>15700</v>
      </c>
      <c r="I315" s="3">
        <v>85400</v>
      </c>
      <c r="J315" s="3">
        <v>172</v>
      </c>
      <c r="K315" s="3">
        <v>283</v>
      </c>
      <c r="L315" s="3">
        <v>115</v>
      </c>
      <c r="M315" s="2">
        <f t="shared" si="10"/>
        <v>21.241275875554823</v>
      </c>
    </row>
    <row r="316" spans="1:13" x14ac:dyDescent="0.3">
      <c r="A316" t="s">
        <v>22</v>
      </c>
      <c r="C316" t="str">
        <f t="shared" si="9"/>
        <v>McArdle_1961</v>
      </c>
      <c r="D316" s="3">
        <v>190</v>
      </c>
      <c r="F316" s="3">
        <v>1</v>
      </c>
      <c r="G316" s="3">
        <v>90</v>
      </c>
      <c r="H316" s="3">
        <v>17190</v>
      </c>
      <c r="I316" s="3">
        <v>97200</v>
      </c>
      <c r="J316" s="3">
        <v>182</v>
      </c>
      <c r="K316" s="3">
        <v>297</v>
      </c>
      <c r="L316" s="3">
        <v>100</v>
      </c>
      <c r="M316" s="2">
        <f t="shared" si="10"/>
        <v>23.335361144722484</v>
      </c>
    </row>
    <row r="317" spans="1:13" x14ac:dyDescent="0.3">
      <c r="A317" t="s">
        <v>22</v>
      </c>
      <c r="C317" t="str">
        <f t="shared" si="9"/>
        <v>McArdle_1961</v>
      </c>
      <c r="D317" s="3">
        <v>190</v>
      </c>
      <c r="F317" s="3">
        <v>1</v>
      </c>
      <c r="G317" s="3">
        <v>100</v>
      </c>
      <c r="H317" s="3">
        <v>18370</v>
      </c>
      <c r="I317" s="3">
        <v>107100</v>
      </c>
      <c r="J317" s="3">
        <v>190</v>
      </c>
      <c r="K317" s="3">
        <v>309</v>
      </c>
      <c r="L317" s="3">
        <v>89</v>
      </c>
      <c r="M317" s="2">
        <f t="shared" si="10"/>
        <v>25.230191000150086</v>
      </c>
    </row>
    <row r="318" spans="1:13" x14ac:dyDescent="0.3">
      <c r="A318" t="s">
        <v>22</v>
      </c>
      <c r="C318" t="str">
        <f t="shared" si="9"/>
        <v>McArdle_1961</v>
      </c>
      <c r="D318" s="3">
        <v>190</v>
      </c>
      <c r="F318" s="3">
        <v>1</v>
      </c>
      <c r="G318" s="3">
        <v>110</v>
      </c>
      <c r="H318" s="3">
        <v>19390</v>
      </c>
      <c r="I318" s="3">
        <v>115200</v>
      </c>
      <c r="J318" s="3">
        <v>197</v>
      </c>
      <c r="K318" s="3">
        <v>320</v>
      </c>
      <c r="L318" s="3">
        <v>81</v>
      </c>
      <c r="M318" s="2">
        <f t="shared" si="10"/>
        <v>26.913413352287819</v>
      </c>
    </row>
    <row r="319" spans="1:13" x14ac:dyDescent="0.3">
      <c r="A319" t="s">
        <v>22</v>
      </c>
      <c r="C319" t="str">
        <f t="shared" si="9"/>
        <v>McArdle_1961</v>
      </c>
      <c r="D319" s="3">
        <v>190</v>
      </c>
      <c r="F319" s="3">
        <v>1</v>
      </c>
      <c r="G319" s="3">
        <v>120</v>
      </c>
      <c r="H319" s="3">
        <v>20220</v>
      </c>
      <c r="I319" s="3">
        <v>122500</v>
      </c>
      <c r="J319" s="3">
        <v>202</v>
      </c>
      <c r="K319" s="3">
        <v>329</v>
      </c>
      <c r="L319" s="3">
        <v>74</v>
      </c>
      <c r="M319" s="2">
        <f t="shared" si="10"/>
        <v>28.550807179259827</v>
      </c>
    </row>
    <row r="320" spans="1:13" x14ac:dyDescent="0.3">
      <c r="A320" t="s">
        <v>22</v>
      </c>
      <c r="C320" t="str">
        <f t="shared" si="9"/>
        <v>McArdle_1961</v>
      </c>
      <c r="D320" s="3">
        <v>190</v>
      </c>
      <c r="F320" s="3">
        <v>1</v>
      </c>
      <c r="G320" s="3">
        <v>130</v>
      </c>
      <c r="H320" s="3">
        <v>20980</v>
      </c>
      <c r="I320" s="3">
        <v>128900</v>
      </c>
      <c r="J320" s="3">
        <v>207</v>
      </c>
      <c r="K320" s="3">
        <v>338</v>
      </c>
      <c r="L320" s="3">
        <v>69</v>
      </c>
      <c r="M320" s="2">
        <f t="shared" si="10"/>
        <v>29.968851976618673</v>
      </c>
    </row>
    <row r="321" spans="1:13" x14ac:dyDescent="0.3">
      <c r="A321" t="s">
        <v>22</v>
      </c>
      <c r="C321" t="str">
        <f t="shared" si="9"/>
        <v>McArdle_1961</v>
      </c>
      <c r="D321" s="3">
        <v>190</v>
      </c>
      <c r="F321" s="3">
        <v>1</v>
      </c>
      <c r="G321" s="3">
        <v>140</v>
      </c>
      <c r="H321" s="3">
        <v>21610</v>
      </c>
      <c r="I321" s="3">
        <v>134500</v>
      </c>
      <c r="J321" s="3">
        <v>210</v>
      </c>
      <c r="K321" s="3">
        <v>347</v>
      </c>
      <c r="L321" s="3">
        <v>64</v>
      </c>
      <c r="M321" s="2">
        <f t="shared" si="10"/>
        <v>31.529062126883439</v>
      </c>
    </row>
    <row r="322" spans="1:13" x14ac:dyDescent="0.3">
      <c r="A322" t="s">
        <v>22</v>
      </c>
      <c r="C322" t="str">
        <f t="shared" si="9"/>
        <v>McArdle_1961</v>
      </c>
      <c r="D322" s="3">
        <v>190</v>
      </c>
      <c r="F322" s="3">
        <v>1</v>
      </c>
      <c r="G322" s="3">
        <v>150</v>
      </c>
      <c r="H322" s="3">
        <v>22250</v>
      </c>
      <c r="I322" s="3">
        <v>139500</v>
      </c>
      <c r="J322" s="3">
        <v>213</v>
      </c>
      <c r="K322" s="3">
        <v>354</v>
      </c>
      <c r="L322" s="3">
        <v>60</v>
      </c>
      <c r="M322" s="2">
        <f t="shared" si="10"/>
        <v>32.889881420419449</v>
      </c>
    </row>
    <row r="323" spans="1:13" x14ac:dyDescent="0.3">
      <c r="A323" t="s">
        <v>22</v>
      </c>
      <c r="C323" t="str">
        <f t="shared" ref="C323:C386" si="11">IF(ISBLANK(B323),A323,A323&amp;"_"&amp;B323)</f>
        <v>McArdle_1961</v>
      </c>
      <c r="D323" s="3">
        <v>190</v>
      </c>
      <c r="F323" s="3">
        <v>1</v>
      </c>
      <c r="G323" s="3">
        <v>160</v>
      </c>
      <c r="H323" s="3">
        <v>22833</v>
      </c>
      <c r="I323" s="3">
        <v>144400</v>
      </c>
      <c r="J323" s="3">
        <v>215</v>
      </c>
      <c r="K323" s="3">
        <v>361</v>
      </c>
      <c r="L323" s="3">
        <v>57</v>
      </c>
      <c r="M323" s="2">
        <f t="shared" si="10"/>
        <v>34.076303293723988</v>
      </c>
    </row>
    <row r="324" spans="1:13" x14ac:dyDescent="0.3">
      <c r="A324" t="s">
        <v>22</v>
      </c>
      <c r="C324" t="str">
        <f t="shared" si="11"/>
        <v>McArdle_1961</v>
      </c>
      <c r="D324" s="3">
        <v>200</v>
      </c>
      <c r="F324" s="3">
        <v>1</v>
      </c>
      <c r="G324" s="3">
        <v>20</v>
      </c>
      <c r="H324" s="3">
        <v>1830</v>
      </c>
      <c r="J324" s="3">
        <v>52</v>
      </c>
      <c r="K324" s="3">
        <v>101</v>
      </c>
      <c r="L324" s="3">
        <v>571</v>
      </c>
      <c r="M324" s="2">
        <f t="shared" si="10"/>
        <v>5.69480600935763</v>
      </c>
    </row>
    <row r="325" spans="1:13" x14ac:dyDescent="0.3">
      <c r="A325" t="s">
        <v>22</v>
      </c>
      <c r="C325" t="str">
        <f t="shared" si="11"/>
        <v>McArdle_1961</v>
      </c>
      <c r="D325" s="3">
        <v>200</v>
      </c>
      <c r="F325" s="3">
        <v>1</v>
      </c>
      <c r="G325" s="3">
        <v>30</v>
      </c>
      <c r="H325" s="3">
        <v>4750</v>
      </c>
      <c r="I325" s="3">
        <v>8000</v>
      </c>
      <c r="J325" s="3">
        <v>92</v>
      </c>
      <c r="K325" s="3">
        <v>154</v>
      </c>
      <c r="L325" s="3">
        <v>350</v>
      </c>
      <c r="M325" s="2">
        <f t="shared" si="10"/>
        <v>8.9817846923617726</v>
      </c>
    </row>
    <row r="326" spans="1:13" x14ac:dyDescent="0.3">
      <c r="A326" t="s">
        <v>22</v>
      </c>
      <c r="C326" t="str">
        <f t="shared" si="11"/>
        <v>McArdle_1961</v>
      </c>
      <c r="D326" s="3">
        <v>200</v>
      </c>
      <c r="F326" s="3">
        <v>1</v>
      </c>
      <c r="G326" s="3">
        <v>40</v>
      </c>
      <c r="H326" s="3">
        <v>7500</v>
      </c>
      <c r="I326" s="3">
        <v>24400</v>
      </c>
      <c r="J326" s="3">
        <v>120</v>
      </c>
      <c r="K326" s="3">
        <v>195</v>
      </c>
      <c r="L326" s="3">
        <v>240</v>
      </c>
      <c r="M326" s="2">
        <f t="shared" si="10"/>
        <v>12.205286737461233</v>
      </c>
    </row>
    <row r="327" spans="1:13" x14ac:dyDescent="0.3">
      <c r="A327" t="s">
        <v>22</v>
      </c>
      <c r="C327" t="str">
        <f t="shared" si="11"/>
        <v>McArdle_1961</v>
      </c>
      <c r="D327" s="3">
        <v>200</v>
      </c>
      <c r="F327" s="3">
        <v>1</v>
      </c>
      <c r="G327" s="3">
        <v>50</v>
      </c>
      <c r="H327" s="3">
        <v>10150</v>
      </c>
      <c r="I327" s="3">
        <v>44100</v>
      </c>
      <c r="J327" s="3">
        <v>139</v>
      </c>
      <c r="K327" s="3">
        <v>224</v>
      </c>
      <c r="L327" s="3">
        <v>176</v>
      </c>
      <c r="M327" s="2">
        <f t="shared" si="10"/>
        <v>15.27580047299479</v>
      </c>
    </row>
    <row r="328" spans="1:13" x14ac:dyDescent="0.3">
      <c r="A328" t="s">
        <v>22</v>
      </c>
      <c r="C328" t="str">
        <f t="shared" si="11"/>
        <v>McArdle_1961</v>
      </c>
      <c r="D328" s="3">
        <v>200</v>
      </c>
      <c r="F328" s="3">
        <v>1</v>
      </c>
      <c r="G328" s="3">
        <v>60</v>
      </c>
      <c r="H328" s="3">
        <v>12500</v>
      </c>
      <c r="I328" s="3">
        <v>62000</v>
      </c>
      <c r="J328" s="3">
        <v>156</v>
      </c>
      <c r="K328" s="3">
        <v>248</v>
      </c>
      <c r="L328" s="3">
        <v>138</v>
      </c>
      <c r="M328" s="2">
        <f t="shared" si="10"/>
        <v>18.15192126453768</v>
      </c>
    </row>
    <row r="329" spans="1:13" x14ac:dyDescent="0.3">
      <c r="A329" t="s">
        <v>22</v>
      </c>
      <c r="C329" t="str">
        <f t="shared" si="11"/>
        <v>McArdle_1961</v>
      </c>
      <c r="D329" s="3">
        <v>200</v>
      </c>
      <c r="F329" s="3">
        <v>1</v>
      </c>
      <c r="G329" s="3">
        <v>70</v>
      </c>
      <c r="H329" s="3">
        <v>14500</v>
      </c>
      <c r="I329" s="3">
        <v>78200</v>
      </c>
      <c r="J329" s="3">
        <v>170</v>
      </c>
      <c r="K329" s="3">
        <v>268</v>
      </c>
      <c r="L329" s="3">
        <v>113</v>
      </c>
      <c r="M329" s="2">
        <f t="shared" si="10"/>
        <v>20.852804764972774</v>
      </c>
    </row>
    <row r="330" spans="1:13" x14ac:dyDescent="0.3">
      <c r="A330" t="s">
        <v>22</v>
      </c>
      <c r="C330" t="str">
        <f t="shared" si="11"/>
        <v>McArdle_1961</v>
      </c>
      <c r="D330" s="3">
        <v>200</v>
      </c>
      <c r="F330" s="3">
        <v>1</v>
      </c>
      <c r="G330" s="3">
        <v>80</v>
      </c>
      <c r="H330" s="3">
        <v>16350</v>
      </c>
      <c r="I330" s="3">
        <v>92500</v>
      </c>
      <c r="J330" s="3">
        <v>181</v>
      </c>
      <c r="K330" s="3">
        <v>285</v>
      </c>
      <c r="L330" s="3">
        <v>97</v>
      </c>
      <c r="M330" s="2">
        <f t="shared" ref="M330:M393" si="12">IF(NOT(OR(ISBLANK(L330),ISBLANK(K330))),SQRT((K330/L330)/0.005454154),"")</f>
        <v>23.209878379837413</v>
      </c>
    </row>
    <row r="331" spans="1:13" x14ac:dyDescent="0.3">
      <c r="A331" t="s">
        <v>22</v>
      </c>
      <c r="C331" t="str">
        <f t="shared" si="11"/>
        <v>McArdle_1961</v>
      </c>
      <c r="D331" s="3">
        <v>200</v>
      </c>
      <c r="F331" s="3">
        <v>1</v>
      </c>
      <c r="G331" s="3">
        <v>90</v>
      </c>
      <c r="H331" s="3">
        <v>17880</v>
      </c>
      <c r="I331" s="3">
        <v>104800</v>
      </c>
      <c r="J331" s="3">
        <v>192</v>
      </c>
      <c r="K331" s="3">
        <v>299</v>
      </c>
      <c r="L331" s="3">
        <v>84</v>
      </c>
      <c r="M331" s="2">
        <f t="shared" si="12"/>
        <v>25.546549706104223</v>
      </c>
    </row>
    <row r="332" spans="1:13" x14ac:dyDescent="0.3">
      <c r="A332" t="s">
        <v>22</v>
      </c>
      <c r="C332" t="str">
        <f t="shared" si="11"/>
        <v>McArdle_1961</v>
      </c>
      <c r="D332" s="3">
        <v>200</v>
      </c>
      <c r="F332" s="3">
        <v>1</v>
      </c>
      <c r="G332" s="3">
        <v>100</v>
      </c>
      <c r="H332" s="3">
        <v>19140</v>
      </c>
      <c r="I332" s="3">
        <v>115100</v>
      </c>
      <c r="J332" s="3">
        <v>200</v>
      </c>
      <c r="K332" s="3">
        <v>312</v>
      </c>
      <c r="L332" s="3">
        <v>75</v>
      </c>
      <c r="M332" s="2">
        <f t="shared" si="12"/>
        <v>27.617411258832227</v>
      </c>
    </row>
    <row r="333" spans="1:13" x14ac:dyDescent="0.3">
      <c r="A333" t="s">
        <v>22</v>
      </c>
      <c r="C333" t="str">
        <f t="shared" si="11"/>
        <v>McArdle_1961</v>
      </c>
      <c r="D333" s="3">
        <v>200</v>
      </c>
      <c r="F333" s="3">
        <v>1</v>
      </c>
      <c r="G333" s="3">
        <v>110</v>
      </c>
      <c r="H333" s="3">
        <v>20200</v>
      </c>
      <c r="I333" s="3">
        <v>123700</v>
      </c>
      <c r="J333" s="3">
        <v>207</v>
      </c>
      <c r="K333" s="3">
        <v>323</v>
      </c>
      <c r="L333" s="3">
        <v>69</v>
      </c>
      <c r="M333" s="2">
        <f t="shared" si="12"/>
        <v>29.296316421381814</v>
      </c>
    </row>
    <row r="334" spans="1:13" x14ac:dyDescent="0.3">
      <c r="A334" t="s">
        <v>22</v>
      </c>
      <c r="C334" t="str">
        <f t="shared" si="11"/>
        <v>McArdle_1961</v>
      </c>
      <c r="D334" s="3">
        <v>200</v>
      </c>
      <c r="F334" s="3">
        <v>1</v>
      </c>
      <c r="G334" s="3">
        <v>120</v>
      </c>
      <c r="H334" s="3">
        <v>21090</v>
      </c>
      <c r="I334" s="3">
        <v>131100</v>
      </c>
      <c r="J334" s="3">
        <v>213</v>
      </c>
      <c r="K334" s="3">
        <v>332</v>
      </c>
      <c r="L334" s="3">
        <v>63</v>
      </c>
      <c r="M334" s="2">
        <f t="shared" si="12"/>
        <v>31.083868928861378</v>
      </c>
    </row>
    <row r="335" spans="1:13" x14ac:dyDescent="0.3">
      <c r="A335" t="s">
        <v>22</v>
      </c>
      <c r="C335" t="str">
        <f t="shared" si="11"/>
        <v>McArdle_1961</v>
      </c>
      <c r="D335" s="3">
        <v>200</v>
      </c>
      <c r="F335" s="3">
        <v>1</v>
      </c>
      <c r="G335" s="3">
        <v>130</v>
      </c>
      <c r="H335" s="3">
        <v>21840</v>
      </c>
      <c r="I335" s="3">
        <v>137700</v>
      </c>
      <c r="J335" s="3">
        <v>218</v>
      </c>
      <c r="K335" s="3">
        <v>341</v>
      </c>
      <c r="L335" s="3">
        <v>59</v>
      </c>
      <c r="M335" s="2">
        <f t="shared" si="12"/>
        <v>32.552735207908668</v>
      </c>
    </row>
    <row r="336" spans="1:13" x14ac:dyDescent="0.3">
      <c r="A336" t="s">
        <v>22</v>
      </c>
      <c r="C336" t="str">
        <f t="shared" si="11"/>
        <v>McArdle_1961</v>
      </c>
      <c r="D336" s="3">
        <v>200</v>
      </c>
      <c r="F336" s="3">
        <v>1</v>
      </c>
      <c r="G336" s="3">
        <v>140</v>
      </c>
      <c r="H336" s="3">
        <v>22520</v>
      </c>
      <c r="I336" s="3">
        <v>143500</v>
      </c>
      <c r="J336" s="3">
        <v>221</v>
      </c>
      <c r="K336" s="3">
        <v>350</v>
      </c>
      <c r="L336" s="3">
        <v>55</v>
      </c>
      <c r="M336" s="2">
        <f t="shared" si="12"/>
        <v>34.157728268339788</v>
      </c>
    </row>
    <row r="337" spans="1:13" x14ac:dyDescent="0.3">
      <c r="A337" t="s">
        <v>22</v>
      </c>
      <c r="C337" t="str">
        <f t="shared" si="11"/>
        <v>McArdle_1961</v>
      </c>
      <c r="D337" s="3">
        <v>200</v>
      </c>
      <c r="F337" s="3">
        <v>1</v>
      </c>
      <c r="G337" s="3">
        <v>150</v>
      </c>
      <c r="H337" s="3">
        <v>23170</v>
      </c>
      <c r="I337" s="3">
        <v>148700</v>
      </c>
      <c r="J337" s="3">
        <v>224</v>
      </c>
      <c r="K337" s="3">
        <v>357</v>
      </c>
      <c r="L337" s="3">
        <v>51</v>
      </c>
      <c r="M337" s="2">
        <f t="shared" si="12"/>
        <v>35.824927641226481</v>
      </c>
    </row>
    <row r="338" spans="1:13" x14ac:dyDescent="0.3">
      <c r="A338" t="s">
        <v>22</v>
      </c>
      <c r="C338" t="str">
        <f t="shared" si="11"/>
        <v>McArdle_1961</v>
      </c>
      <c r="D338" s="3">
        <v>200</v>
      </c>
      <c r="F338" s="3">
        <v>1</v>
      </c>
      <c r="G338" s="3">
        <v>160</v>
      </c>
      <c r="H338" s="3">
        <v>23780</v>
      </c>
      <c r="I338" s="3">
        <v>153500</v>
      </c>
      <c r="J338" s="3">
        <v>226</v>
      </c>
      <c r="K338" s="3">
        <v>364</v>
      </c>
      <c r="L338" s="3">
        <v>48</v>
      </c>
      <c r="M338" s="2">
        <f t="shared" si="12"/>
        <v>37.287766902037802</v>
      </c>
    </row>
    <row r="339" spans="1:13" x14ac:dyDescent="0.3">
      <c r="A339" t="s">
        <v>22</v>
      </c>
      <c r="C339" t="str">
        <f t="shared" si="11"/>
        <v>McArdle_1961</v>
      </c>
      <c r="D339" s="3">
        <v>210</v>
      </c>
      <c r="F339" s="3">
        <v>1</v>
      </c>
      <c r="G339" s="3">
        <v>20</v>
      </c>
      <c r="H339" s="3">
        <v>1920</v>
      </c>
      <c r="J339" s="3">
        <v>54</v>
      </c>
      <c r="K339" s="3">
        <v>102</v>
      </c>
      <c r="L339" s="3">
        <v>490</v>
      </c>
      <c r="M339" s="2">
        <f t="shared" si="12"/>
        <v>6.177864060744203</v>
      </c>
    </row>
    <row r="340" spans="1:13" x14ac:dyDescent="0.3">
      <c r="A340" t="s">
        <v>22</v>
      </c>
      <c r="C340" t="str">
        <f t="shared" si="11"/>
        <v>McArdle_1961</v>
      </c>
      <c r="D340" s="3">
        <v>210</v>
      </c>
      <c r="F340" s="3">
        <v>1</v>
      </c>
      <c r="G340" s="3">
        <v>30</v>
      </c>
      <c r="H340" s="3">
        <v>4990</v>
      </c>
      <c r="I340" s="3">
        <v>10500</v>
      </c>
      <c r="J340" s="3">
        <v>96</v>
      </c>
      <c r="K340" s="3">
        <v>155</v>
      </c>
      <c r="L340" s="3">
        <v>300</v>
      </c>
      <c r="M340" s="2">
        <f t="shared" si="12"/>
        <v>9.7328834683390664</v>
      </c>
    </row>
    <row r="341" spans="1:13" x14ac:dyDescent="0.3">
      <c r="A341" t="s">
        <v>22</v>
      </c>
      <c r="C341" t="str">
        <f t="shared" si="11"/>
        <v>McArdle_1961</v>
      </c>
      <c r="D341" s="3">
        <v>210</v>
      </c>
      <c r="F341" s="3">
        <v>1</v>
      </c>
      <c r="G341" s="3">
        <v>40</v>
      </c>
      <c r="H341" s="3">
        <v>7830</v>
      </c>
      <c r="I341" s="3">
        <v>29400</v>
      </c>
      <c r="J341" s="3">
        <v>126</v>
      </c>
      <c r="K341" s="3">
        <v>196</v>
      </c>
      <c r="L341" s="3">
        <v>203</v>
      </c>
      <c r="M341" s="2">
        <f t="shared" si="12"/>
        <v>13.305044107011929</v>
      </c>
    </row>
    <row r="342" spans="1:13" x14ac:dyDescent="0.3">
      <c r="A342" t="s">
        <v>22</v>
      </c>
      <c r="C342" t="str">
        <f t="shared" si="11"/>
        <v>McArdle_1961</v>
      </c>
      <c r="D342" s="3">
        <v>210</v>
      </c>
      <c r="F342" s="3">
        <v>1</v>
      </c>
      <c r="G342" s="3">
        <v>50</v>
      </c>
      <c r="H342" s="3">
        <v>10560</v>
      </c>
      <c r="I342" s="3">
        <v>50000</v>
      </c>
      <c r="J342" s="3">
        <v>146</v>
      </c>
      <c r="K342" s="3">
        <v>226</v>
      </c>
      <c r="L342" s="3">
        <v>150</v>
      </c>
      <c r="M342" s="2">
        <f t="shared" si="12"/>
        <v>16.620530893841579</v>
      </c>
    </row>
    <row r="343" spans="1:13" x14ac:dyDescent="0.3">
      <c r="A343" t="s">
        <v>22</v>
      </c>
      <c r="C343" t="str">
        <f t="shared" si="11"/>
        <v>McArdle_1961</v>
      </c>
      <c r="D343" s="3">
        <v>210</v>
      </c>
      <c r="F343" s="3">
        <v>1</v>
      </c>
      <c r="G343" s="3">
        <v>60</v>
      </c>
      <c r="H343" s="3">
        <v>12960</v>
      </c>
      <c r="I343" s="3">
        <v>68300</v>
      </c>
      <c r="J343" s="3">
        <v>163</v>
      </c>
      <c r="K343" s="3">
        <v>250</v>
      </c>
      <c r="L343" s="3">
        <v>116</v>
      </c>
      <c r="M343" s="2">
        <f t="shared" si="12"/>
        <v>19.878211706445796</v>
      </c>
    </row>
    <row r="344" spans="1:13" x14ac:dyDescent="0.3">
      <c r="A344" t="s">
        <v>22</v>
      </c>
      <c r="C344" t="str">
        <f t="shared" si="11"/>
        <v>McArdle_1961</v>
      </c>
      <c r="D344" s="3">
        <v>210</v>
      </c>
      <c r="F344" s="3">
        <v>1</v>
      </c>
      <c r="G344" s="3">
        <v>70</v>
      </c>
      <c r="H344" s="3">
        <v>15080</v>
      </c>
      <c r="I344" s="3">
        <v>85000</v>
      </c>
      <c r="J344" s="3">
        <v>178</v>
      </c>
      <c r="K344" s="3">
        <v>270</v>
      </c>
      <c r="L344" s="3">
        <v>95</v>
      </c>
      <c r="M344" s="2">
        <f t="shared" si="12"/>
        <v>22.827396445353205</v>
      </c>
    </row>
    <row r="345" spans="1:13" x14ac:dyDescent="0.3">
      <c r="A345" t="s">
        <v>22</v>
      </c>
      <c r="C345" t="str">
        <f t="shared" si="11"/>
        <v>McArdle_1961</v>
      </c>
      <c r="D345" s="3">
        <v>210</v>
      </c>
      <c r="F345" s="3">
        <v>1</v>
      </c>
      <c r="G345" s="3">
        <v>80</v>
      </c>
      <c r="H345" s="3">
        <v>16970</v>
      </c>
      <c r="I345" s="3">
        <v>99800</v>
      </c>
      <c r="J345" s="3">
        <v>190</v>
      </c>
      <c r="K345" s="3">
        <v>287</v>
      </c>
      <c r="L345" s="3">
        <v>81</v>
      </c>
      <c r="M345" s="2">
        <f t="shared" si="12"/>
        <v>25.487940275979476</v>
      </c>
    </row>
    <row r="346" spans="1:13" x14ac:dyDescent="0.3">
      <c r="A346" t="s">
        <v>22</v>
      </c>
      <c r="C346" t="str">
        <f t="shared" si="11"/>
        <v>McArdle_1961</v>
      </c>
      <c r="D346" s="3">
        <v>210</v>
      </c>
      <c r="F346" s="3">
        <v>1</v>
      </c>
      <c r="G346" s="3">
        <v>90</v>
      </c>
      <c r="H346" s="3">
        <v>18500</v>
      </c>
      <c r="I346" s="3">
        <v>112300</v>
      </c>
      <c r="J346" s="3">
        <v>201</v>
      </c>
      <c r="K346" s="3">
        <v>301</v>
      </c>
      <c r="L346" s="3">
        <v>71</v>
      </c>
      <c r="M346" s="2">
        <f t="shared" si="12"/>
        <v>27.879846308066959</v>
      </c>
    </row>
    <row r="347" spans="1:13" x14ac:dyDescent="0.3">
      <c r="A347" t="s">
        <v>22</v>
      </c>
      <c r="C347" t="str">
        <f t="shared" si="11"/>
        <v>McArdle_1961</v>
      </c>
      <c r="D347" s="3">
        <v>210</v>
      </c>
      <c r="F347" s="3">
        <v>1</v>
      </c>
      <c r="G347" s="3">
        <v>100</v>
      </c>
      <c r="H347" s="3">
        <v>19820</v>
      </c>
      <c r="I347" s="3">
        <v>122900</v>
      </c>
      <c r="J347" s="3">
        <v>210</v>
      </c>
      <c r="K347" s="3">
        <v>314</v>
      </c>
      <c r="L347" s="3">
        <v>64</v>
      </c>
      <c r="M347" s="2">
        <f t="shared" si="12"/>
        <v>29.992394434610475</v>
      </c>
    </row>
    <row r="348" spans="1:13" x14ac:dyDescent="0.3">
      <c r="A348" t="s">
        <v>22</v>
      </c>
      <c r="C348" t="str">
        <f t="shared" si="11"/>
        <v>McArdle_1961</v>
      </c>
      <c r="D348" s="3">
        <v>210</v>
      </c>
      <c r="F348" s="3">
        <v>1</v>
      </c>
      <c r="G348" s="3">
        <v>110</v>
      </c>
      <c r="H348" s="3">
        <v>20940</v>
      </c>
      <c r="I348" s="3">
        <v>131200</v>
      </c>
      <c r="J348" s="3">
        <v>218</v>
      </c>
      <c r="K348" s="3">
        <v>325</v>
      </c>
      <c r="L348" s="3">
        <v>58</v>
      </c>
      <c r="M348" s="2">
        <f t="shared" si="12"/>
        <v>32.052653270522313</v>
      </c>
    </row>
    <row r="349" spans="1:13" x14ac:dyDescent="0.3">
      <c r="A349" t="s">
        <v>22</v>
      </c>
      <c r="C349" t="str">
        <f t="shared" si="11"/>
        <v>McArdle_1961</v>
      </c>
      <c r="D349" s="3">
        <v>210</v>
      </c>
      <c r="F349" s="3">
        <v>1</v>
      </c>
      <c r="G349" s="3">
        <v>120</v>
      </c>
      <c r="H349" s="3">
        <v>21870</v>
      </c>
      <c r="I349" s="3">
        <v>139000</v>
      </c>
      <c r="J349" s="3">
        <v>224</v>
      </c>
      <c r="K349" s="3">
        <v>335</v>
      </c>
      <c r="L349" s="3">
        <v>53</v>
      </c>
      <c r="M349" s="2">
        <f t="shared" si="12"/>
        <v>34.042447047616378</v>
      </c>
    </row>
    <row r="350" spans="1:13" x14ac:dyDescent="0.3">
      <c r="A350" t="s">
        <v>22</v>
      </c>
      <c r="C350" t="str">
        <f t="shared" si="11"/>
        <v>McArdle_1961</v>
      </c>
      <c r="D350" s="3">
        <v>210</v>
      </c>
      <c r="F350" s="3">
        <v>1</v>
      </c>
      <c r="G350" s="3">
        <v>130</v>
      </c>
      <c r="H350" s="3">
        <v>22660</v>
      </c>
      <c r="I350" s="3">
        <v>146100</v>
      </c>
      <c r="J350" s="3">
        <v>228</v>
      </c>
      <c r="K350" s="3">
        <v>344</v>
      </c>
      <c r="L350" s="3">
        <v>49</v>
      </c>
      <c r="M350" s="2">
        <f t="shared" si="12"/>
        <v>35.877112559844662</v>
      </c>
    </row>
    <row r="351" spans="1:13" x14ac:dyDescent="0.3">
      <c r="A351" t="s">
        <v>22</v>
      </c>
      <c r="C351" t="str">
        <f t="shared" si="11"/>
        <v>McArdle_1961</v>
      </c>
      <c r="D351" s="3">
        <v>210</v>
      </c>
      <c r="F351" s="3">
        <v>1</v>
      </c>
      <c r="G351" s="3">
        <v>140</v>
      </c>
      <c r="H351" s="3">
        <v>23360</v>
      </c>
      <c r="I351" s="3">
        <v>152000</v>
      </c>
      <c r="J351" s="3">
        <v>232</v>
      </c>
      <c r="K351" s="3">
        <v>353</v>
      </c>
      <c r="L351" s="3">
        <v>45</v>
      </c>
      <c r="M351" s="2">
        <f t="shared" si="12"/>
        <v>37.924284655805465</v>
      </c>
    </row>
    <row r="352" spans="1:13" x14ac:dyDescent="0.3">
      <c r="A352" t="s">
        <v>22</v>
      </c>
      <c r="C352" t="str">
        <f t="shared" si="11"/>
        <v>McArdle_1961</v>
      </c>
      <c r="D352" s="3">
        <v>210</v>
      </c>
      <c r="F352" s="3">
        <v>1</v>
      </c>
      <c r="G352" s="3">
        <v>150</v>
      </c>
      <c r="H352" s="3">
        <v>24030</v>
      </c>
      <c r="I352" s="3">
        <v>157200</v>
      </c>
      <c r="J352" s="3">
        <v>235</v>
      </c>
      <c r="K352" s="3">
        <v>360</v>
      </c>
      <c r="L352" s="3">
        <v>42</v>
      </c>
      <c r="M352" s="2">
        <f t="shared" si="12"/>
        <v>39.642670895301691</v>
      </c>
    </row>
    <row r="353" spans="1:13" x14ac:dyDescent="0.3">
      <c r="A353" t="s">
        <v>22</v>
      </c>
      <c r="C353" t="str">
        <f t="shared" si="11"/>
        <v>McArdle_1961</v>
      </c>
      <c r="D353" s="3">
        <v>210</v>
      </c>
      <c r="F353" s="3">
        <v>1</v>
      </c>
      <c r="G353" s="3">
        <v>160</v>
      </c>
      <c r="H353" s="3">
        <v>24660</v>
      </c>
      <c r="I353" s="3">
        <v>162000</v>
      </c>
      <c r="J353" s="3">
        <v>237</v>
      </c>
      <c r="K353" s="3">
        <v>367</v>
      </c>
      <c r="L353" s="3">
        <v>40</v>
      </c>
      <c r="M353" s="2">
        <f t="shared" si="12"/>
        <v>41.014681024132535</v>
      </c>
    </row>
    <row r="354" spans="1:13" x14ac:dyDescent="0.3">
      <c r="A354" t="s">
        <v>34</v>
      </c>
      <c r="B354" t="s">
        <v>36</v>
      </c>
      <c r="C354" t="str">
        <f t="shared" si="11"/>
        <v>Curtis_et_al_1982_natural</v>
      </c>
      <c r="E354" s="3">
        <v>85</v>
      </c>
      <c r="G354" s="3">
        <v>30</v>
      </c>
      <c r="H354" s="3">
        <v>1756</v>
      </c>
      <c r="J354" s="3">
        <v>45.9</v>
      </c>
      <c r="K354" s="3">
        <v>109.4</v>
      </c>
      <c r="L354" s="3">
        <v>1135</v>
      </c>
      <c r="M354" s="2">
        <f t="shared" si="12"/>
        <v>4.203848265335151</v>
      </c>
    </row>
    <row r="355" spans="1:13" x14ac:dyDescent="0.3">
      <c r="A355" t="s">
        <v>34</v>
      </c>
      <c r="B355" t="s">
        <v>36</v>
      </c>
      <c r="C355" t="str">
        <f t="shared" si="11"/>
        <v>Curtis_et_al_1982_natural</v>
      </c>
      <c r="E355" s="3">
        <v>85</v>
      </c>
      <c r="G355" s="3">
        <v>35</v>
      </c>
      <c r="H355" s="3">
        <v>2570</v>
      </c>
      <c r="J355" s="3">
        <v>54.4</v>
      </c>
      <c r="K355" s="3">
        <v>134.80000000000001</v>
      </c>
      <c r="L355" s="3">
        <v>1014</v>
      </c>
      <c r="M355" s="2">
        <f t="shared" si="12"/>
        <v>4.9369902607256506</v>
      </c>
    </row>
    <row r="356" spans="1:13" x14ac:dyDescent="0.3">
      <c r="A356" t="s">
        <v>34</v>
      </c>
      <c r="B356" t="s">
        <v>36</v>
      </c>
      <c r="C356" t="str">
        <f t="shared" si="11"/>
        <v>Curtis_et_al_1982_natural</v>
      </c>
      <c r="E356" s="3">
        <v>85</v>
      </c>
      <c r="G356" s="3">
        <v>40</v>
      </c>
      <c r="H356" s="3">
        <v>3364</v>
      </c>
      <c r="J356" s="3">
        <v>62</v>
      </c>
      <c r="K356" s="3">
        <v>154.30000000000001</v>
      </c>
      <c r="L356" s="3">
        <v>888</v>
      </c>
      <c r="M356" s="2">
        <f t="shared" si="12"/>
        <v>5.6443350016494502</v>
      </c>
    </row>
    <row r="357" spans="1:13" x14ac:dyDescent="0.3">
      <c r="A357" t="s">
        <v>34</v>
      </c>
      <c r="B357" t="s">
        <v>36</v>
      </c>
      <c r="C357" t="str">
        <f t="shared" si="11"/>
        <v>Curtis_et_al_1982_natural</v>
      </c>
      <c r="E357" s="3">
        <v>85</v>
      </c>
      <c r="G357" s="3">
        <v>45</v>
      </c>
      <c r="H357" s="3">
        <v>4160</v>
      </c>
      <c r="J357" s="3">
        <v>68.900000000000006</v>
      </c>
      <c r="K357" s="3">
        <v>171.1</v>
      </c>
      <c r="L357" s="3">
        <v>771</v>
      </c>
      <c r="M357" s="2">
        <f t="shared" si="12"/>
        <v>6.3787285015538</v>
      </c>
    </row>
    <row r="358" spans="1:13" x14ac:dyDescent="0.3">
      <c r="A358" t="s">
        <v>34</v>
      </c>
      <c r="B358" t="s">
        <v>36</v>
      </c>
      <c r="C358" t="str">
        <f t="shared" si="11"/>
        <v>Curtis_et_al_1982_natural</v>
      </c>
      <c r="E358" s="3">
        <v>85</v>
      </c>
      <c r="G358" s="3">
        <v>50</v>
      </c>
      <c r="H358" s="3">
        <v>4868</v>
      </c>
      <c r="J358" s="3">
        <v>75.2</v>
      </c>
      <c r="K358" s="3">
        <v>183.2</v>
      </c>
      <c r="L358" s="3">
        <v>668</v>
      </c>
      <c r="M358" s="2">
        <f t="shared" si="12"/>
        <v>7.091054206860635</v>
      </c>
    </row>
    <row r="359" spans="1:13" x14ac:dyDescent="0.3">
      <c r="A359" t="s">
        <v>34</v>
      </c>
      <c r="B359" t="s">
        <v>36</v>
      </c>
      <c r="C359" t="str">
        <f t="shared" si="11"/>
        <v>Curtis_et_al_1982_natural</v>
      </c>
      <c r="E359" s="3">
        <v>85</v>
      </c>
      <c r="G359" s="3">
        <v>55</v>
      </c>
      <c r="H359" s="3">
        <v>5516</v>
      </c>
      <c r="J359" s="3">
        <v>80.8</v>
      </c>
      <c r="K359" s="3">
        <v>192.9</v>
      </c>
      <c r="L359" s="3">
        <v>584</v>
      </c>
      <c r="M359" s="2">
        <f t="shared" si="12"/>
        <v>7.7820853953084148</v>
      </c>
    </row>
    <row r="360" spans="1:13" x14ac:dyDescent="0.3">
      <c r="A360" t="s">
        <v>34</v>
      </c>
      <c r="B360" t="s">
        <v>36</v>
      </c>
      <c r="C360" t="str">
        <f t="shared" si="11"/>
        <v>Curtis_et_al_1982_natural</v>
      </c>
      <c r="E360" s="3">
        <v>85</v>
      </c>
      <c r="G360" s="3">
        <v>60</v>
      </c>
      <c r="H360" s="3">
        <v>6121</v>
      </c>
      <c r="J360" s="3">
        <v>86</v>
      </c>
      <c r="K360" s="3">
        <v>201.5</v>
      </c>
      <c r="L360" s="3">
        <v>516</v>
      </c>
      <c r="M360" s="2">
        <f t="shared" si="12"/>
        <v>8.4615315148037133</v>
      </c>
    </row>
    <row r="361" spans="1:13" x14ac:dyDescent="0.3">
      <c r="A361" t="s">
        <v>34</v>
      </c>
      <c r="B361" t="s">
        <v>36</v>
      </c>
      <c r="C361" t="str">
        <f t="shared" si="11"/>
        <v>Curtis_et_al_1982_natural</v>
      </c>
      <c r="E361" s="3">
        <v>85</v>
      </c>
      <c r="G361" s="3">
        <v>65</v>
      </c>
      <c r="H361" s="3">
        <v>6692</v>
      </c>
      <c r="J361" s="3">
        <v>90.7</v>
      </c>
      <c r="K361" s="3">
        <v>209.3</v>
      </c>
      <c r="L361" s="3">
        <v>462</v>
      </c>
      <c r="M361" s="2">
        <f t="shared" si="12"/>
        <v>9.1138091160464008</v>
      </c>
    </row>
    <row r="362" spans="1:13" x14ac:dyDescent="0.3">
      <c r="A362" t="s">
        <v>34</v>
      </c>
      <c r="B362" t="s">
        <v>36</v>
      </c>
      <c r="C362" t="str">
        <f t="shared" si="11"/>
        <v>Curtis_et_al_1982_natural</v>
      </c>
      <c r="E362" s="3">
        <v>85</v>
      </c>
      <c r="G362" s="3">
        <v>70</v>
      </c>
      <c r="H362" s="3">
        <v>7231</v>
      </c>
      <c r="J362" s="3">
        <v>95</v>
      </c>
      <c r="K362" s="3">
        <v>216.6</v>
      </c>
      <c r="L362" s="3">
        <v>418</v>
      </c>
      <c r="M362" s="2">
        <f t="shared" si="12"/>
        <v>9.7471441111056532</v>
      </c>
    </row>
    <row r="363" spans="1:13" x14ac:dyDescent="0.3">
      <c r="A363" t="s">
        <v>34</v>
      </c>
      <c r="B363" t="s">
        <v>36</v>
      </c>
      <c r="C363" t="str">
        <f t="shared" si="11"/>
        <v>Curtis_et_al_1982_natural</v>
      </c>
      <c r="E363" s="3">
        <v>85</v>
      </c>
      <c r="G363" s="3">
        <v>75</v>
      </c>
      <c r="H363" s="3">
        <v>7741</v>
      </c>
      <c r="J363" s="3">
        <v>99</v>
      </c>
      <c r="K363" s="3">
        <v>223.4</v>
      </c>
      <c r="L363" s="3">
        <v>381</v>
      </c>
      <c r="M363" s="2">
        <f t="shared" si="12"/>
        <v>10.368487261254765</v>
      </c>
    </row>
    <row r="364" spans="1:13" x14ac:dyDescent="0.3">
      <c r="A364" t="s">
        <v>34</v>
      </c>
      <c r="B364" t="s">
        <v>36</v>
      </c>
      <c r="C364" t="str">
        <f t="shared" si="11"/>
        <v>Curtis_et_al_1982_natural</v>
      </c>
      <c r="E364" s="3">
        <v>85</v>
      </c>
      <c r="G364" s="3">
        <v>80</v>
      </c>
      <c r="H364" s="3">
        <v>8224</v>
      </c>
      <c r="J364" s="3">
        <v>102.7</v>
      </c>
      <c r="K364" s="3">
        <v>229.9</v>
      </c>
      <c r="L364" s="3">
        <v>350</v>
      </c>
      <c r="M364" s="2">
        <f t="shared" si="12"/>
        <v>10.974172067153322</v>
      </c>
    </row>
    <row r="365" spans="1:13" x14ac:dyDescent="0.3">
      <c r="A365" t="s">
        <v>34</v>
      </c>
      <c r="B365" t="s">
        <v>36</v>
      </c>
      <c r="C365" t="str">
        <f t="shared" si="11"/>
        <v>Curtis_et_al_1982_natural</v>
      </c>
      <c r="E365" s="3">
        <v>85</v>
      </c>
      <c r="G365" s="3">
        <v>85</v>
      </c>
      <c r="H365" s="3">
        <v>8679</v>
      </c>
      <c r="J365" s="3">
        <v>106.1</v>
      </c>
      <c r="K365" s="3">
        <v>236.1</v>
      </c>
      <c r="L365" s="3">
        <v>324</v>
      </c>
      <c r="M365" s="2">
        <f t="shared" si="12"/>
        <v>11.558774477298071</v>
      </c>
    </row>
    <row r="366" spans="1:13" x14ac:dyDescent="0.3">
      <c r="A366" t="s">
        <v>34</v>
      </c>
      <c r="B366" t="s">
        <v>36</v>
      </c>
      <c r="C366" t="str">
        <f t="shared" si="11"/>
        <v>Curtis_et_al_1982_natural</v>
      </c>
      <c r="E366" s="3">
        <v>85</v>
      </c>
      <c r="G366" s="3">
        <v>90</v>
      </c>
      <c r="H366" s="3">
        <v>9110</v>
      </c>
      <c r="J366" s="3">
        <v>109.2</v>
      </c>
      <c r="K366" s="3">
        <v>242.1</v>
      </c>
      <c r="L366" s="3">
        <v>301</v>
      </c>
      <c r="M366" s="2">
        <f t="shared" si="12"/>
        <v>12.143683754253484</v>
      </c>
    </row>
    <row r="367" spans="1:13" x14ac:dyDescent="0.3">
      <c r="A367" t="s">
        <v>34</v>
      </c>
      <c r="B367" t="s">
        <v>36</v>
      </c>
      <c r="C367" t="str">
        <f t="shared" si="11"/>
        <v>Curtis_et_al_1982_natural</v>
      </c>
      <c r="E367" s="3">
        <v>85</v>
      </c>
      <c r="G367" s="3">
        <v>95</v>
      </c>
      <c r="H367" s="3">
        <v>9517</v>
      </c>
      <c r="J367" s="3">
        <v>112.2</v>
      </c>
      <c r="K367" s="3">
        <v>247.9</v>
      </c>
      <c r="L367" s="3">
        <v>281</v>
      </c>
      <c r="M367" s="2">
        <f t="shared" si="12"/>
        <v>12.718075690241021</v>
      </c>
    </row>
    <row r="368" spans="1:13" x14ac:dyDescent="0.3">
      <c r="A368" t="s">
        <v>34</v>
      </c>
      <c r="B368" t="s">
        <v>36</v>
      </c>
      <c r="C368" t="str">
        <f t="shared" si="11"/>
        <v>Curtis_et_al_1982_natural</v>
      </c>
      <c r="E368" s="3">
        <v>85</v>
      </c>
      <c r="G368" s="3">
        <v>100</v>
      </c>
      <c r="H368" s="3">
        <v>9901</v>
      </c>
      <c r="J368" s="3">
        <v>114.9</v>
      </c>
      <c r="K368" s="3">
        <v>253.4</v>
      </c>
      <c r="L368" s="3">
        <v>264</v>
      </c>
      <c r="M368" s="2">
        <f t="shared" si="12"/>
        <v>13.265928239985282</v>
      </c>
    </row>
    <row r="369" spans="1:13" x14ac:dyDescent="0.3">
      <c r="A369" t="s">
        <v>34</v>
      </c>
      <c r="B369" t="s">
        <v>36</v>
      </c>
      <c r="C369" t="str">
        <f t="shared" si="11"/>
        <v>Curtis_et_al_1982_natural</v>
      </c>
      <c r="E369" s="3">
        <v>105</v>
      </c>
      <c r="G369" s="3">
        <v>25</v>
      </c>
      <c r="H369" s="3">
        <v>1815</v>
      </c>
      <c r="J369" s="3">
        <v>46.4</v>
      </c>
      <c r="K369" s="3">
        <v>111.2</v>
      </c>
      <c r="L369" s="3">
        <v>1128</v>
      </c>
      <c r="M369" s="2">
        <f t="shared" si="12"/>
        <v>4.2514213158186802</v>
      </c>
    </row>
    <row r="370" spans="1:13" x14ac:dyDescent="0.3">
      <c r="A370" t="s">
        <v>34</v>
      </c>
      <c r="B370" t="s">
        <v>36</v>
      </c>
      <c r="C370" t="str">
        <f t="shared" si="11"/>
        <v>Curtis_et_al_1982_natural</v>
      </c>
      <c r="E370" s="3">
        <v>105</v>
      </c>
      <c r="G370" s="3">
        <v>30</v>
      </c>
      <c r="H370" s="3">
        <v>2958</v>
      </c>
      <c r="J370" s="3">
        <v>58</v>
      </c>
      <c r="K370" s="3">
        <v>144.30000000000001</v>
      </c>
      <c r="L370" s="3">
        <v>955</v>
      </c>
      <c r="M370" s="2">
        <f t="shared" si="12"/>
        <v>5.2634170338956965</v>
      </c>
    </row>
    <row r="371" spans="1:13" x14ac:dyDescent="0.3">
      <c r="A371" t="s">
        <v>34</v>
      </c>
      <c r="B371" t="s">
        <v>36</v>
      </c>
      <c r="C371" t="str">
        <f t="shared" si="11"/>
        <v>Curtis_et_al_1982_natural</v>
      </c>
      <c r="E371" s="3">
        <v>105</v>
      </c>
      <c r="G371" s="3">
        <v>35</v>
      </c>
      <c r="H371" s="3">
        <v>4117</v>
      </c>
      <c r="J371" s="3">
        <v>68.400000000000006</v>
      </c>
      <c r="K371" s="3">
        <v>169.3</v>
      </c>
      <c r="L371" s="3">
        <v>796</v>
      </c>
      <c r="M371" s="2">
        <f t="shared" si="12"/>
        <v>6.2446520849420057</v>
      </c>
    </row>
    <row r="372" spans="1:13" x14ac:dyDescent="0.3">
      <c r="A372" t="s">
        <v>34</v>
      </c>
      <c r="B372" t="s">
        <v>36</v>
      </c>
      <c r="C372" t="str">
        <f t="shared" si="11"/>
        <v>Curtis_et_al_1982_natural</v>
      </c>
      <c r="E372" s="3">
        <v>105</v>
      </c>
      <c r="G372" s="3">
        <v>40</v>
      </c>
      <c r="H372" s="3">
        <v>5149</v>
      </c>
      <c r="J372" s="3">
        <v>77.900000000000006</v>
      </c>
      <c r="K372" s="3">
        <v>185.4</v>
      </c>
      <c r="L372" s="3">
        <v>661</v>
      </c>
      <c r="M372" s="2">
        <f t="shared" si="12"/>
        <v>7.1711769189259531</v>
      </c>
    </row>
    <row r="373" spans="1:13" x14ac:dyDescent="0.3">
      <c r="A373" t="s">
        <v>34</v>
      </c>
      <c r="B373" t="s">
        <v>36</v>
      </c>
      <c r="C373" t="str">
        <f t="shared" si="11"/>
        <v>Curtis_et_al_1982_natural</v>
      </c>
      <c r="E373" s="3">
        <v>105</v>
      </c>
      <c r="G373" s="3">
        <v>45</v>
      </c>
      <c r="H373" s="3">
        <v>6090</v>
      </c>
      <c r="J373" s="3">
        <v>86.4</v>
      </c>
      <c r="K373" s="3">
        <v>197.4</v>
      </c>
      <c r="L373" s="3">
        <v>556</v>
      </c>
      <c r="M373" s="2">
        <f t="shared" si="12"/>
        <v>8.0681224383366299</v>
      </c>
    </row>
    <row r="374" spans="1:13" x14ac:dyDescent="0.3">
      <c r="A374" t="s">
        <v>34</v>
      </c>
      <c r="B374" t="s">
        <v>36</v>
      </c>
      <c r="C374" t="str">
        <f t="shared" si="11"/>
        <v>Curtis_et_al_1982_natural</v>
      </c>
      <c r="E374" s="3">
        <v>105</v>
      </c>
      <c r="G374" s="3">
        <v>50</v>
      </c>
      <c r="H374" s="3">
        <v>6976</v>
      </c>
      <c r="J374" s="3">
        <v>94.1</v>
      </c>
      <c r="K374" s="3">
        <v>207.6</v>
      </c>
      <c r="L374" s="3">
        <v>477</v>
      </c>
      <c r="M374" s="2">
        <f t="shared" si="12"/>
        <v>8.9328653349877953</v>
      </c>
    </row>
    <row r="375" spans="1:13" x14ac:dyDescent="0.3">
      <c r="A375" t="s">
        <v>34</v>
      </c>
      <c r="B375" t="s">
        <v>36</v>
      </c>
      <c r="C375" t="str">
        <f t="shared" si="11"/>
        <v>Curtis_et_al_1982_natural</v>
      </c>
      <c r="E375" s="3">
        <v>105</v>
      </c>
      <c r="G375" s="3">
        <v>55</v>
      </c>
      <c r="H375" s="3">
        <v>7816</v>
      </c>
      <c r="J375" s="3">
        <v>101.1</v>
      </c>
      <c r="K375" s="3">
        <v>216.7</v>
      </c>
      <c r="L375" s="3">
        <v>418</v>
      </c>
      <c r="M375" s="2">
        <f t="shared" si="12"/>
        <v>9.7493938847330988</v>
      </c>
    </row>
    <row r="376" spans="1:13" x14ac:dyDescent="0.3">
      <c r="A376" t="s">
        <v>34</v>
      </c>
      <c r="B376" t="s">
        <v>36</v>
      </c>
      <c r="C376" t="str">
        <f t="shared" si="11"/>
        <v>Curtis_et_al_1982_natural</v>
      </c>
      <c r="E376" s="3">
        <v>105</v>
      </c>
      <c r="G376" s="3">
        <v>60</v>
      </c>
      <c r="H376" s="3">
        <v>8612</v>
      </c>
      <c r="J376" s="3">
        <v>107.5</v>
      </c>
      <c r="K376" s="3">
        <v>225.1</v>
      </c>
      <c r="L376" s="3">
        <v>371</v>
      </c>
      <c r="M376" s="2">
        <f t="shared" si="12"/>
        <v>10.54719789266893</v>
      </c>
    </row>
    <row r="377" spans="1:13" x14ac:dyDescent="0.3">
      <c r="A377" t="s">
        <v>34</v>
      </c>
      <c r="B377" t="s">
        <v>36</v>
      </c>
      <c r="C377" t="str">
        <f t="shared" si="11"/>
        <v>Curtis_et_al_1982_natural</v>
      </c>
      <c r="E377" s="3">
        <v>105</v>
      </c>
      <c r="G377" s="3">
        <v>65</v>
      </c>
      <c r="H377" s="3">
        <v>9366</v>
      </c>
      <c r="J377" s="3">
        <v>113.3</v>
      </c>
      <c r="K377" s="3">
        <v>232.9</v>
      </c>
      <c r="L377" s="3">
        <v>333</v>
      </c>
      <c r="M377" s="2">
        <f t="shared" si="12"/>
        <v>11.323975716902543</v>
      </c>
    </row>
    <row r="378" spans="1:13" x14ac:dyDescent="0.3">
      <c r="A378" t="s">
        <v>34</v>
      </c>
      <c r="B378" t="s">
        <v>36</v>
      </c>
      <c r="C378" t="str">
        <f t="shared" si="11"/>
        <v>Curtis_et_al_1982_natural</v>
      </c>
      <c r="E378" s="3">
        <v>105</v>
      </c>
      <c r="G378" s="3">
        <v>70</v>
      </c>
      <c r="H378" s="3">
        <v>10079</v>
      </c>
      <c r="J378" s="3">
        <v>118.7</v>
      </c>
      <c r="K378" s="3">
        <v>240.3</v>
      </c>
      <c r="L378" s="3">
        <v>303</v>
      </c>
      <c r="M378" s="2">
        <f t="shared" si="12"/>
        <v>12.058460720256907</v>
      </c>
    </row>
    <row r="379" spans="1:13" x14ac:dyDescent="0.3">
      <c r="A379" t="s">
        <v>34</v>
      </c>
      <c r="B379" t="s">
        <v>36</v>
      </c>
      <c r="C379" t="str">
        <f t="shared" si="11"/>
        <v>Curtis_et_al_1982_natural</v>
      </c>
      <c r="E379" s="3">
        <v>105</v>
      </c>
      <c r="G379" s="3">
        <v>75</v>
      </c>
      <c r="H379" s="3">
        <v>10751</v>
      </c>
      <c r="J379" s="3">
        <v>123.7</v>
      </c>
      <c r="K379" s="3">
        <v>247.3</v>
      </c>
      <c r="L379" s="3">
        <v>278</v>
      </c>
      <c r="M379" s="2">
        <f t="shared" si="12"/>
        <v>12.771031088540019</v>
      </c>
    </row>
    <row r="380" spans="1:13" x14ac:dyDescent="0.3">
      <c r="A380" t="s">
        <v>34</v>
      </c>
      <c r="B380" t="s">
        <v>36</v>
      </c>
      <c r="C380" t="str">
        <f t="shared" si="11"/>
        <v>Curtis_et_al_1982_natural</v>
      </c>
      <c r="E380" s="3">
        <v>105</v>
      </c>
      <c r="G380" s="3">
        <v>80</v>
      </c>
      <c r="H380" s="3">
        <v>11386</v>
      </c>
      <c r="J380" s="3">
        <v>128.19999999999999</v>
      </c>
      <c r="K380" s="3">
        <v>253.9</v>
      </c>
      <c r="L380" s="3">
        <v>256</v>
      </c>
      <c r="M380" s="2">
        <f t="shared" si="12"/>
        <v>13.484898120185722</v>
      </c>
    </row>
    <row r="381" spans="1:13" x14ac:dyDescent="0.3">
      <c r="A381" t="s">
        <v>34</v>
      </c>
      <c r="B381" t="s">
        <v>36</v>
      </c>
      <c r="C381" t="str">
        <f t="shared" si="11"/>
        <v>Curtis_et_al_1982_natural</v>
      </c>
      <c r="E381" s="3">
        <v>105</v>
      </c>
      <c r="G381" s="3">
        <v>85</v>
      </c>
      <c r="H381" s="3">
        <v>11984</v>
      </c>
      <c r="J381" s="3">
        <v>132.5</v>
      </c>
      <c r="K381" s="3">
        <v>260.2</v>
      </c>
      <c r="L381" s="3">
        <v>238</v>
      </c>
      <c r="M381" s="2">
        <f t="shared" si="12"/>
        <v>14.157985703990496</v>
      </c>
    </row>
    <row r="382" spans="1:13" x14ac:dyDescent="0.3">
      <c r="A382" t="s">
        <v>34</v>
      </c>
      <c r="B382" t="s">
        <v>36</v>
      </c>
      <c r="C382" t="str">
        <f t="shared" si="11"/>
        <v>Curtis_et_al_1982_natural</v>
      </c>
      <c r="E382" s="3">
        <v>105</v>
      </c>
      <c r="G382" s="3">
        <v>90</v>
      </c>
      <c r="H382" s="3">
        <v>12548</v>
      </c>
      <c r="J382" s="3">
        <v>136.5</v>
      </c>
      <c r="K382" s="3">
        <v>266.3</v>
      </c>
      <c r="L382" s="3">
        <v>222</v>
      </c>
      <c r="M382" s="2">
        <f t="shared" si="12"/>
        <v>14.830145019188564</v>
      </c>
    </row>
    <row r="383" spans="1:13" x14ac:dyDescent="0.3">
      <c r="A383" t="s">
        <v>34</v>
      </c>
      <c r="B383" t="s">
        <v>36</v>
      </c>
      <c r="C383" t="str">
        <f t="shared" si="11"/>
        <v>Curtis_et_al_1982_natural</v>
      </c>
      <c r="E383" s="3">
        <v>105</v>
      </c>
      <c r="G383" s="3">
        <v>95</v>
      </c>
      <c r="H383" s="3">
        <v>13078</v>
      </c>
      <c r="J383" s="3">
        <v>140.19999999999999</v>
      </c>
      <c r="K383" s="3">
        <v>272.10000000000002</v>
      </c>
      <c r="L383" s="3">
        <v>209</v>
      </c>
      <c r="M383" s="2">
        <f t="shared" si="12"/>
        <v>15.449962502411182</v>
      </c>
    </row>
    <row r="384" spans="1:13" x14ac:dyDescent="0.3">
      <c r="A384" t="s">
        <v>34</v>
      </c>
      <c r="B384" t="s">
        <v>36</v>
      </c>
      <c r="C384" t="str">
        <f t="shared" si="11"/>
        <v>Curtis_et_al_1982_natural</v>
      </c>
      <c r="E384" s="3">
        <v>105</v>
      </c>
      <c r="G384" s="3">
        <v>100</v>
      </c>
      <c r="H384" s="3">
        <v>13577</v>
      </c>
      <c r="J384" s="3">
        <v>143.6</v>
      </c>
      <c r="K384" s="3">
        <v>277.7</v>
      </c>
      <c r="L384" s="3">
        <v>197</v>
      </c>
      <c r="M384" s="2">
        <f t="shared" si="12"/>
        <v>16.076486074864235</v>
      </c>
    </row>
    <row r="385" spans="1:13" x14ac:dyDescent="0.3">
      <c r="A385" t="s">
        <v>34</v>
      </c>
      <c r="B385" t="s">
        <v>36</v>
      </c>
      <c r="C385" t="str">
        <f t="shared" si="11"/>
        <v>Curtis_et_al_1982_natural</v>
      </c>
      <c r="E385" s="3">
        <v>125</v>
      </c>
      <c r="G385" s="3">
        <v>20</v>
      </c>
      <c r="H385" s="3">
        <v>1455</v>
      </c>
      <c r="J385" s="3">
        <v>42.3</v>
      </c>
      <c r="K385" s="3">
        <v>97.5</v>
      </c>
      <c r="L385" s="3">
        <v>1167</v>
      </c>
      <c r="M385" s="2">
        <f t="shared" si="12"/>
        <v>3.9138410294057491</v>
      </c>
    </row>
    <row r="386" spans="1:13" x14ac:dyDescent="0.3">
      <c r="A386" t="s">
        <v>34</v>
      </c>
      <c r="B386" t="s">
        <v>36</v>
      </c>
      <c r="C386" t="str">
        <f t="shared" si="11"/>
        <v>Curtis_et_al_1982_natural</v>
      </c>
      <c r="E386" s="3">
        <v>125</v>
      </c>
      <c r="G386" s="3">
        <v>25</v>
      </c>
      <c r="H386" s="3">
        <v>2885</v>
      </c>
      <c r="J386" s="3">
        <v>57.2</v>
      </c>
      <c r="K386" s="3">
        <v>142.30000000000001</v>
      </c>
      <c r="L386" s="3">
        <v>968</v>
      </c>
      <c r="M386" s="2">
        <f t="shared" si="12"/>
        <v>5.1915982009985653</v>
      </c>
    </row>
    <row r="387" spans="1:13" x14ac:dyDescent="0.3">
      <c r="A387" t="s">
        <v>34</v>
      </c>
      <c r="B387" t="s">
        <v>36</v>
      </c>
      <c r="C387" t="str">
        <f t="shared" ref="C387:C450" si="13">IF(ISBLANK(B387),A387,A387&amp;"_"&amp;B387)</f>
        <v>Curtis_et_al_1982_natural</v>
      </c>
      <c r="E387" s="3">
        <v>125</v>
      </c>
      <c r="G387" s="3">
        <v>30</v>
      </c>
      <c r="H387" s="3">
        <v>4393</v>
      </c>
      <c r="J387" s="3">
        <v>70.7</v>
      </c>
      <c r="K387" s="3">
        <v>173.7</v>
      </c>
      <c r="L387" s="3">
        <v>770</v>
      </c>
      <c r="M387" s="2">
        <f t="shared" si="12"/>
        <v>6.431182716612236</v>
      </c>
    </row>
    <row r="388" spans="1:13" x14ac:dyDescent="0.3">
      <c r="A388" t="s">
        <v>34</v>
      </c>
      <c r="B388" t="s">
        <v>36</v>
      </c>
      <c r="C388" t="str">
        <f t="shared" si="13"/>
        <v>Curtis_et_al_1982_natural</v>
      </c>
      <c r="E388" s="3">
        <v>125</v>
      </c>
      <c r="G388" s="3">
        <v>35</v>
      </c>
      <c r="H388" s="3">
        <v>5719</v>
      </c>
      <c r="J388" s="3">
        <v>83.1</v>
      </c>
      <c r="K388" s="3">
        <v>191.7</v>
      </c>
      <c r="L388" s="3">
        <v>612</v>
      </c>
      <c r="M388" s="2">
        <f t="shared" si="12"/>
        <v>7.5782974466829609</v>
      </c>
    </row>
    <row r="389" spans="1:13" x14ac:dyDescent="0.3">
      <c r="A389" t="s">
        <v>34</v>
      </c>
      <c r="B389" t="s">
        <v>36</v>
      </c>
      <c r="C389" t="str">
        <f t="shared" si="13"/>
        <v>Curtis_et_al_1982_natural</v>
      </c>
      <c r="E389" s="3">
        <v>125</v>
      </c>
      <c r="G389" s="3">
        <v>40</v>
      </c>
      <c r="H389" s="3">
        <v>6956</v>
      </c>
      <c r="J389" s="3">
        <v>94.2</v>
      </c>
      <c r="K389" s="3">
        <v>205.1</v>
      </c>
      <c r="L389" s="3">
        <v>499</v>
      </c>
      <c r="M389" s="2">
        <f t="shared" si="12"/>
        <v>8.6809820707494474</v>
      </c>
    </row>
    <row r="390" spans="1:13" x14ac:dyDescent="0.3">
      <c r="A390" t="s">
        <v>34</v>
      </c>
      <c r="B390" t="s">
        <v>36</v>
      </c>
      <c r="C390" t="str">
        <f t="shared" si="13"/>
        <v>Curtis_et_al_1982_natural</v>
      </c>
      <c r="E390" s="3">
        <v>125</v>
      </c>
      <c r="G390" s="3">
        <v>45</v>
      </c>
      <c r="H390" s="3">
        <v>8137</v>
      </c>
      <c r="J390" s="3">
        <v>104.3</v>
      </c>
      <c r="K390" s="3">
        <v>216.5</v>
      </c>
      <c r="L390" s="3">
        <v>420</v>
      </c>
      <c r="M390" s="2">
        <f t="shared" si="12"/>
        <v>9.7216640023984535</v>
      </c>
    </row>
    <row r="391" spans="1:13" x14ac:dyDescent="0.3">
      <c r="A391" t="s">
        <v>34</v>
      </c>
      <c r="B391" t="s">
        <v>36</v>
      </c>
      <c r="C391" t="str">
        <f t="shared" si="13"/>
        <v>Curtis_et_al_1982_natural</v>
      </c>
      <c r="E391" s="3">
        <v>125</v>
      </c>
      <c r="G391" s="3">
        <v>50</v>
      </c>
      <c r="H391" s="3">
        <v>9265</v>
      </c>
      <c r="J391" s="3">
        <v>113.5</v>
      </c>
      <c r="K391" s="3">
        <v>226.7</v>
      </c>
      <c r="L391" s="3">
        <v>362</v>
      </c>
      <c r="M391" s="2">
        <f t="shared" si="12"/>
        <v>10.715384925271879</v>
      </c>
    </row>
    <row r="392" spans="1:13" x14ac:dyDescent="0.3">
      <c r="A392" t="s">
        <v>34</v>
      </c>
      <c r="B392" t="s">
        <v>36</v>
      </c>
      <c r="C392" t="str">
        <f t="shared" si="13"/>
        <v>Curtis_et_al_1982_natural</v>
      </c>
      <c r="E392" s="3">
        <v>125</v>
      </c>
      <c r="G392" s="3">
        <v>55</v>
      </c>
      <c r="H392" s="3">
        <v>10338</v>
      </c>
      <c r="J392" s="3">
        <v>121.9</v>
      </c>
      <c r="K392" s="3">
        <v>236</v>
      </c>
      <c r="L392" s="3">
        <v>318</v>
      </c>
      <c r="M392" s="2">
        <f t="shared" si="12"/>
        <v>11.664838849715974</v>
      </c>
    </row>
    <row r="393" spans="1:13" x14ac:dyDescent="0.3">
      <c r="A393" t="s">
        <v>34</v>
      </c>
      <c r="B393" t="s">
        <v>36</v>
      </c>
      <c r="C393" t="str">
        <f t="shared" si="13"/>
        <v>Curtis_et_al_1982_natural</v>
      </c>
      <c r="E393" s="3">
        <v>125</v>
      </c>
      <c r="G393" s="3">
        <v>60</v>
      </c>
      <c r="H393" s="3">
        <v>11357</v>
      </c>
      <c r="J393" s="3">
        <v>129.5</v>
      </c>
      <c r="K393" s="3">
        <v>244.6</v>
      </c>
      <c r="L393" s="3">
        <v>284</v>
      </c>
      <c r="M393" s="2">
        <f t="shared" si="12"/>
        <v>12.566240238649517</v>
      </c>
    </row>
    <row r="394" spans="1:13" x14ac:dyDescent="0.3">
      <c r="A394" t="s">
        <v>34</v>
      </c>
      <c r="B394" t="s">
        <v>36</v>
      </c>
      <c r="C394" t="str">
        <f t="shared" si="13"/>
        <v>Curtis_et_al_1982_natural</v>
      </c>
      <c r="E394" s="3">
        <v>125</v>
      </c>
      <c r="G394" s="3">
        <v>65</v>
      </c>
      <c r="H394" s="3">
        <v>12321</v>
      </c>
      <c r="J394" s="3">
        <v>136.6</v>
      </c>
      <c r="K394" s="3">
        <v>252.7</v>
      </c>
      <c r="L394" s="3">
        <v>256</v>
      </c>
      <c r="M394" s="2">
        <f t="shared" ref="M394:M457" si="14">IF(NOT(OR(ISBLANK(L394),ISBLANK(K394))),SQRT((K394/L394)/0.005454154),"")</f>
        <v>13.452993742393652</v>
      </c>
    </row>
    <row r="395" spans="1:13" x14ac:dyDescent="0.3">
      <c r="A395" t="s">
        <v>34</v>
      </c>
      <c r="B395" t="s">
        <v>36</v>
      </c>
      <c r="C395" t="str">
        <f t="shared" si="13"/>
        <v>Curtis_et_al_1982_natural</v>
      </c>
      <c r="E395" s="3">
        <v>125</v>
      </c>
      <c r="G395" s="3">
        <v>70</v>
      </c>
      <c r="H395" s="3">
        <v>13232</v>
      </c>
      <c r="J395" s="3">
        <v>143.1</v>
      </c>
      <c r="K395" s="3">
        <v>260.2</v>
      </c>
      <c r="L395" s="3">
        <v>234</v>
      </c>
      <c r="M395" s="2">
        <f t="shared" si="14"/>
        <v>14.278481372041618</v>
      </c>
    </row>
    <row r="396" spans="1:13" x14ac:dyDescent="0.3">
      <c r="A396" t="s">
        <v>34</v>
      </c>
      <c r="B396" t="s">
        <v>36</v>
      </c>
      <c r="C396" t="str">
        <f t="shared" si="13"/>
        <v>Curtis_et_al_1982_natural</v>
      </c>
      <c r="E396" s="3">
        <v>125</v>
      </c>
      <c r="G396" s="3">
        <v>75</v>
      </c>
      <c r="H396" s="3">
        <v>14091</v>
      </c>
      <c r="J396" s="3">
        <v>149.1</v>
      </c>
      <c r="K396" s="3">
        <v>267.3</v>
      </c>
      <c r="L396" s="3">
        <v>215</v>
      </c>
      <c r="M396" s="2">
        <f t="shared" si="14"/>
        <v>15.09790023563513</v>
      </c>
    </row>
    <row r="397" spans="1:13" x14ac:dyDescent="0.3">
      <c r="A397" t="s">
        <v>34</v>
      </c>
      <c r="B397" t="s">
        <v>36</v>
      </c>
      <c r="C397" t="str">
        <f t="shared" si="13"/>
        <v>Curtis_et_al_1982_natural</v>
      </c>
      <c r="E397" s="3">
        <v>125</v>
      </c>
      <c r="G397" s="3">
        <v>80</v>
      </c>
      <c r="H397" s="3">
        <v>14900</v>
      </c>
      <c r="J397" s="3">
        <v>154.69999999999999</v>
      </c>
      <c r="K397" s="3">
        <v>274</v>
      </c>
      <c r="L397" s="3">
        <v>199</v>
      </c>
      <c r="M397" s="2">
        <f t="shared" si="14"/>
        <v>15.888578539151966</v>
      </c>
    </row>
    <row r="398" spans="1:13" x14ac:dyDescent="0.3">
      <c r="A398" t="s">
        <v>34</v>
      </c>
      <c r="B398" t="s">
        <v>36</v>
      </c>
      <c r="C398" t="str">
        <f t="shared" si="13"/>
        <v>Curtis_et_al_1982_natural</v>
      </c>
      <c r="E398" s="3">
        <v>125</v>
      </c>
      <c r="G398" s="3">
        <v>85</v>
      </c>
      <c r="H398" s="3">
        <v>15662</v>
      </c>
      <c r="J398" s="3">
        <v>159.9</v>
      </c>
      <c r="K398" s="3">
        <v>280.39999999999998</v>
      </c>
      <c r="L398" s="3">
        <v>186</v>
      </c>
      <c r="M398" s="2">
        <f t="shared" si="14"/>
        <v>16.625274873071582</v>
      </c>
    </row>
    <row r="399" spans="1:13" x14ac:dyDescent="0.3">
      <c r="A399" t="s">
        <v>34</v>
      </c>
      <c r="B399" t="s">
        <v>36</v>
      </c>
      <c r="C399" t="str">
        <f t="shared" si="13"/>
        <v>Curtis_et_al_1982_natural</v>
      </c>
      <c r="E399" s="3">
        <v>125</v>
      </c>
      <c r="G399" s="3">
        <v>90</v>
      </c>
      <c r="H399" s="3">
        <v>16378</v>
      </c>
      <c r="J399" s="3">
        <v>164.7</v>
      </c>
      <c r="K399" s="3">
        <v>286.5</v>
      </c>
      <c r="L399" s="3">
        <v>174</v>
      </c>
      <c r="M399" s="2">
        <f t="shared" si="14"/>
        <v>17.374967099069767</v>
      </c>
    </row>
    <row r="400" spans="1:13" x14ac:dyDescent="0.3">
      <c r="A400" t="s">
        <v>34</v>
      </c>
      <c r="B400" t="s">
        <v>36</v>
      </c>
      <c r="C400" t="str">
        <f t="shared" si="13"/>
        <v>Curtis_et_al_1982_natural</v>
      </c>
      <c r="E400" s="3">
        <v>125</v>
      </c>
      <c r="G400" s="3">
        <v>95</v>
      </c>
      <c r="H400" s="3">
        <v>17052</v>
      </c>
      <c r="J400" s="3">
        <v>169.3</v>
      </c>
      <c r="K400" s="3">
        <v>292.39999999999998</v>
      </c>
      <c r="L400" s="3">
        <v>164</v>
      </c>
      <c r="M400" s="2">
        <f t="shared" si="14"/>
        <v>18.080192995301104</v>
      </c>
    </row>
    <row r="401" spans="1:13" x14ac:dyDescent="0.3">
      <c r="A401" t="s">
        <v>34</v>
      </c>
      <c r="B401" t="s">
        <v>36</v>
      </c>
      <c r="C401" t="str">
        <f t="shared" si="13"/>
        <v>Curtis_et_al_1982_natural</v>
      </c>
      <c r="E401" s="3">
        <v>125</v>
      </c>
      <c r="G401" s="3">
        <v>100</v>
      </c>
      <c r="H401" s="3">
        <v>17685</v>
      </c>
      <c r="J401" s="3">
        <v>173.6</v>
      </c>
      <c r="K401" s="3">
        <v>298</v>
      </c>
      <c r="L401" s="3">
        <v>155</v>
      </c>
      <c r="M401" s="2">
        <f t="shared" si="14"/>
        <v>18.774941169438733</v>
      </c>
    </row>
    <row r="402" spans="1:13" x14ac:dyDescent="0.3">
      <c r="A402" t="s">
        <v>34</v>
      </c>
      <c r="B402" t="s">
        <v>36</v>
      </c>
      <c r="C402" t="str">
        <f t="shared" si="13"/>
        <v>Curtis_et_al_1982_natural</v>
      </c>
      <c r="E402" s="3">
        <v>145</v>
      </c>
      <c r="G402" s="3">
        <v>20</v>
      </c>
      <c r="H402" s="3">
        <v>2348</v>
      </c>
      <c r="J402" s="3">
        <v>51.9</v>
      </c>
      <c r="K402" s="3">
        <v>127.8</v>
      </c>
      <c r="L402" s="3">
        <v>1053</v>
      </c>
      <c r="M402" s="2">
        <f t="shared" si="14"/>
        <v>4.7172353370137206</v>
      </c>
    </row>
    <row r="403" spans="1:13" x14ac:dyDescent="0.3">
      <c r="A403" t="s">
        <v>34</v>
      </c>
      <c r="B403" t="s">
        <v>36</v>
      </c>
      <c r="C403" t="str">
        <f t="shared" si="13"/>
        <v>Curtis_et_al_1982_natural</v>
      </c>
      <c r="E403" s="3">
        <v>145</v>
      </c>
      <c r="G403" s="3">
        <v>25</v>
      </c>
      <c r="H403" s="3">
        <v>4202</v>
      </c>
      <c r="J403" s="3">
        <v>68.8</v>
      </c>
      <c r="K403" s="3">
        <v>170.4</v>
      </c>
      <c r="L403" s="3">
        <v>802</v>
      </c>
      <c r="M403" s="2">
        <f t="shared" si="14"/>
        <v>6.2414272529676893</v>
      </c>
    </row>
    <row r="404" spans="1:13" x14ac:dyDescent="0.3">
      <c r="A404" t="s">
        <v>34</v>
      </c>
      <c r="B404" t="s">
        <v>36</v>
      </c>
      <c r="C404" t="str">
        <f t="shared" si="13"/>
        <v>Curtis_et_al_1982_natural</v>
      </c>
      <c r="E404" s="3">
        <v>145</v>
      </c>
      <c r="G404" s="3">
        <v>30</v>
      </c>
      <c r="H404" s="3">
        <v>5873</v>
      </c>
      <c r="J404" s="3">
        <v>84.3</v>
      </c>
      <c r="K404" s="3">
        <v>193.1</v>
      </c>
      <c r="L404" s="3">
        <v>606</v>
      </c>
      <c r="M404" s="2">
        <f t="shared" si="14"/>
        <v>7.6434798794592833</v>
      </c>
    </row>
    <row r="405" spans="1:13" x14ac:dyDescent="0.3">
      <c r="A405" t="s">
        <v>34</v>
      </c>
      <c r="B405" t="s">
        <v>36</v>
      </c>
      <c r="C405" t="str">
        <f t="shared" si="13"/>
        <v>Curtis_et_al_1982_natural</v>
      </c>
      <c r="E405" s="3">
        <v>145</v>
      </c>
      <c r="G405" s="3">
        <v>35</v>
      </c>
      <c r="H405" s="3">
        <v>7442</v>
      </c>
      <c r="J405" s="3">
        <v>98.4</v>
      </c>
      <c r="K405" s="3">
        <v>208.8</v>
      </c>
      <c r="L405" s="3">
        <v>475</v>
      </c>
      <c r="M405" s="2">
        <f t="shared" si="14"/>
        <v>8.9774861591209074</v>
      </c>
    </row>
    <row r="406" spans="1:13" x14ac:dyDescent="0.3">
      <c r="A406" t="s">
        <v>34</v>
      </c>
      <c r="B406" t="s">
        <v>36</v>
      </c>
      <c r="C406" t="str">
        <f t="shared" si="13"/>
        <v>Curtis_et_al_1982_natural</v>
      </c>
      <c r="E406" s="3">
        <v>145</v>
      </c>
      <c r="G406" s="3">
        <v>40</v>
      </c>
      <c r="H406" s="3">
        <v>8959</v>
      </c>
      <c r="J406" s="3">
        <v>111.1</v>
      </c>
      <c r="K406" s="3">
        <v>221.9</v>
      </c>
      <c r="L406" s="3">
        <v>388</v>
      </c>
      <c r="M406" s="2">
        <f t="shared" si="14"/>
        <v>10.239979570672412</v>
      </c>
    </row>
    <row r="407" spans="1:13" x14ac:dyDescent="0.3">
      <c r="A407" t="s">
        <v>34</v>
      </c>
      <c r="B407" t="s">
        <v>36</v>
      </c>
      <c r="C407" t="str">
        <f t="shared" si="13"/>
        <v>Curtis_et_al_1982_natural</v>
      </c>
      <c r="E407" s="3">
        <v>145</v>
      </c>
      <c r="G407" s="3">
        <v>45</v>
      </c>
      <c r="H407" s="3">
        <v>10420</v>
      </c>
      <c r="J407" s="3">
        <v>122.8</v>
      </c>
      <c r="K407" s="3">
        <v>233.6</v>
      </c>
      <c r="L407" s="3">
        <v>328</v>
      </c>
      <c r="M407" s="2">
        <f t="shared" si="14"/>
        <v>11.427093981983367</v>
      </c>
    </row>
    <row r="408" spans="1:13" x14ac:dyDescent="0.3">
      <c r="A408" t="s">
        <v>34</v>
      </c>
      <c r="B408" t="s">
        <v>36</v>
      </c>
      <c r="C408" t="str">
        <f t="shared" si="13"/>
        <v>Curtis_et_al_1982_natural</v>
      </c>
      <c r="E408" s="3">
        <v>145</v>
      </c>
      <c r="G408" s="3">
        <v>50</v>
      </c>
      <c r="H408" s="3">
        <v>11819</v>
      </c>
      <c r="J408" s="3">
        <v>133.4</v>
      </c>
      <c r="K408" s="3">
        <v>244</v>
      </c>
      <c r="L408" s="3">
        <v>284</v>
      </c>
      <c r="M408" s="2">
        <f t="shared" si="14"/>
        <v>12.550818379406534</v>
      </c>
    </row>
    <row r="409" spans="1:13" x14ac:dyDescent="0.3">
      <c r="A409" t="s">
        <v>34</v>
      </c>
      <c r="B409" t="s">
        <v>36</v>
      </c>
      <c r="C409" t="str">
        <f t="shared" si="13"/>
        <v>Curtis_et_al_1982_natural</v>
      </c>
      <c r="E409" s="3">
        <v>145</v>
      </c>
      <c r="G409" s="3">
        <v>55</v>
      </c>
      <c r="H409" s="3">
        <v>13151</v>
      </c>
      <c r="J409" s="3">
        <v>143.1</v>
      </c>
      <c r="K409" s="3">
        <v>253.6</v>
      </c>
      <c r="L409" s="3">
        <v>251</v>
      </c>
      <c r="M409" s="2">
        <f t="shared" si="14"/>
        <v>13.610499556766186</v>
      </c>
    </row>
    <row r="410" spans="1:13" x14ac:dyDescent="0.3">
      <c r="A410" t="s">
        <v>34</v>
      </c>
      <c r="B410" t="s">
        <v>36</v>
      </c>
      <c r="C410" t="str">
        <f t="shared" si="13"/>
        <v>Curtis_et_al_1982_natural</v>
      </c>
      <c r="E410" s="3">
        <v>145</v>
      </c>
      <c r="G410" s="3">
        <v>60</v>
      </c>
      <c r="H410" s="3">
        <v>14416</v>
      </c>
      <c r="J410" s="3">
        <v>152.1</v>
      </c>
      <c r="K410" s="3">
        <v>262.39999999999998</v>
      </c>
      <c r="L410" s="3">
        <v>225</v>
      </c>
      <c r="M410" s="2">
        <f t="shared" si="14"/>
        <v>14.622679397211375</v>
      </c>
    </row>
    <row r="411" spans="1:13" x14ac:dyDescent="0.3">
      <c r="A411" t="s">
        <v>34</v>
      </c>
      <c r="B411" t="s">
        <v>36</v>
      </c>
      <c r="C411" t="str">
        <f t="shared" si="13"/>
        <v>Curtis_et_al_1982_natural</v>
      </c>
      <c r="E411" s="3">
        <v>145</v>
      </c>
      <c r="G411" s="3">
        <v>65</v>
      </c>
      <c r="H411" s="3">
        <v>15613</v>
      </c>
      <c r="J411" s="3">
        <v>160.4</v>
      </c>
      <c r="K411" s="3">
        <v>270.60000000000002</v>
      </c>
      <c r="L411" s="3">
        <v>204</v>
      </c>
      <c r="M411" s="2">
        <f t="shared" si="14"/>
        <v>15.59499049152369</v>
      </c>
    </row>
    <row r="412" spans="1:13" x14ac:dyDescent="0.3">
      <c r="A412" t="s">
        <v>34</v>
      </c>
      <c r="B412" t="s">
        <v>36</v>
      </c>
      <c r="C412" t="str">
        <f t="shared" si="13"/>
        <v>Curtis_et_al_1982_natural</v>
      </c>
      <c r="E412" s="3">
        <v>145</v>
      </c>
      <c r="G412" s="3">
        <v>70</v>
      </c>
      <c r="H412" s="3">
        <v>16744</v>
      </c>
      <c r="J412" s="3">
        <v>168.1</v>
      </c>
      <c r="K412" s="3">
        <v>278.3</v>
      </c>
      <c r="L412" s="3">
        <v>187</v>
      </c>
      <c r="M412" s="2">
        <f t="shared" si="14"/>
        <v>16.518556828692773</v>
      </c>
    </row>
    <row r="413" spans="1:13" x14ac:dyDescent="0.3">
      <c r="A413" t="s">
        <v>34</v>
      </c>
      <c r="B413" t="s">
        <v>36</v>
      </c>
      <c r="C413" t="str">
        <f t="shared" si="13"/>
        <v>Curtis_et_al_1982_natural</v>
      </c>
      <c r="E413" s="3">
        <v>145</v>
      </c>
      <c r="G413" s="3">
        <v>75</v>
      </c>
      <c r="H413" s="3">
        <v>17812</v>
      </c>
      <c r="J413" s="3">
        <v>175.2</v>
      </c>
      <c r="K413" s="3">
        <v>285.5</v>
      </c>
      <c r="L413" s="3">
        <v>172</v>
      </c>
      <c r="M413" s="2">
        <f t="shared" si="14"/>
        <v>17.44516713964968</v>
      </c>
    </row>
    <row r="414" spans="1:13" x14ac:dyDescent="0.3">
      <c r="A414" t="s">
        <v>34</v>
      </c>
      <c r="B414" t="s">
        <v>36</v>
      </c>
      <c r="C414" t="str">
        <f t="shared" si="13"/>
        <v>Curtis_et_al_1982_natural</v>
      </c>
      <c r="E414" s="3">
        <v>145</v>
      </c>
      <c r="G414" s="3">
        <v>80</v>
      </c>
      <c r="H414" s="3">
        <v>18817</v>
      </c>
      <c r="J414" s="3">
        <v>181.9</v>
      </c>
      <c r="K414" s="3">
        <v>292.3</v>
      </c>
      <c r="L414" s="3">
        <v>160</v>
      </c>
      <c r="M414" s="2">
        <f t="shared" si="14"/>
        <v>18.301669914486794</v>
      </c>
    </row>
    <row r="415" spans="1:13" x14ac:dyDescent="0.3">
      <c r="A415" t="s">
        <v>34</v>
      </c>
      <c r="B415" t="s">
        <v>36</v>
      </c>
      <c r="C415" t="str">
        <f t="shared" si="13"/>
        <v>Curtis_et_al_1982_natural</v>
      </c>
      <c r="E415" s="3">
        <v>145</v>
      </c>
      <c r="G415" s="3">
        <v>85</v>
      </c>
      <c r="H415" s="3">
        <v>19764</v>
      </c>
      <c r="J415" s="3">
        <v>183.1</v>
      </c>
      <c r="K415" s="3">
        <v>298.7</v>
      </c>
      <c r="L415" s="3">
        <v>150</v>
      </c>
      <c r="M415" s="2">
        <f t="shared" si="14"/>
        <v>19.107694263657621</v>
      </c>
    </row>
    <row r="416" spans="1:13" x14ac:dyDescent="0.3">
      <c r="A416" t="s">
        <v>34</v>
      </c>
      <c r="B416" t="s">
        <v>36</v>
      </c>
      <c r="C416" t="str">
        <f t="shared" si="13"/>
        <v>Curtis_et_al_1982_natural</v>
      </c>
      <c r="E416" s="3">
        <v>145</v>
      </c>
      <c r="G416" s="3">
        <v>90</v>
      </c>
      <c r="H416" s="3">
        <v>20655</v>
      </c>
      <c r="J416" s="3">
        <v>194</v>
      </c>
      <c r="K416" s="3">
        <v>304.8</v>
      </c>
      <c r="L416" s="3">
        <v>141</v>
      </c>
      <c r="M416" s="2">
        <f t="shared" si="14"/>
        <v>19.90830230768546</v>
      </c>
    </row>
    <row r="417" spans="1:13" x14ac:dyDescent="0.3">
      <c r="A417" t="s">
        <v>34</v>
      </c>
      <c r="B417" t="s">
        <v>36</v>
      </c>
      <c r="C417" t="str">
        <f t="shared" si="13"/>
        <v>Curtis_et_al_1982_natural</v>
      </c>
      <c r="E417" s="3">
        <v>145</v>
      </c>
      <c r="G417" s="3">
        <v>95</v>
      </c>
      <c r="H417" s="3">
        <v>21492</v>
      </c>
      <c r="J417" s="3">
        <v>199.5</v>
      </c>
      <c r="K417" s="3">
        <v>310.60000000000002</v>
      </c>
      <c r="L417" s="3">
        <v>133</v>
      </c>
      <c r="M417" s="2">
        <f t="shared" si="14"/>
        <v>20.692416296300522</v>
      </c>
    </row>
    <row r="418" spans="1:13" x14ac:dyDescent="0.3">
      <c r="A418" t="s">
        <v>34</v>
      </c>
      <c r="B418" t="s">
        <v>36</v>
      </c>
      <c r="C418" t="str">
        <f t="shared" si="13"/>
        <v>Curtis_et_al_1982_natural</v>
      </c>
      <c r="E418" s="3">
        <v>145</v>
      </c>
      <c r="G418" s="3">
        <v>100</v>
      </c>
      <c r="H418" s="3">
        <v>22279</v>
      </c>
      <c r="J418" s="3">
        <v>204.7</v>
      </c>
      <c r="K418" s="3">
        <v>316.2</v>
      </c>
      <c r="L418" s="3">
        <v>125</v>
      </c>
      <c r="M418" s="2">
        <f t="shared" si="14"/>
        <v>21.535860440160722</v>
      </c>
    </row>
    <row r="419" spans="1:13" x14ac:dyDescent="0.3">
      <c r="A419" t="s">
        <v>34</v>
      </c>
      <c r="B419" t="s">
        <v>37</v>
      </c>
      <c r="C419" t="str">
        <f t="shared" si="13"/>
        <v>Curtis_et_al_1982_planted</v>
      </c>
      <c r="E419" s="3">
        <v>85</v>
      </c>
      <c r="G419" s="3">
        <v>20</v>
      </c>
      <c r="H419" s="3">
        <v>224</v>
      </c>
      <c r="J419" s="3">
        <v>26.3</v>
      </c>
      <c r="K419" s="3">
        <v>22</v>
      </c>
      <c r="L419" s="3">
        <v>400</v>
      </c>
      <c r="M419" s="2">
        <f t="shared" si="14"/>
        <v>3.1755404315632689</v>
      </c>
    </row>
    <row r="420" spans="1:13" x14ac:dyDescent="0.3">
      <c r="A420" t="s">
        <v>34</v>
      </c>
      <c r="B420" t="s">
        <v>37</v>
      </c>
      <c r="C420" t="str">
        <f t="shared" si="13"/>
        <v>Curtis_et_al_1982_planted</v>
      </c>
      <c r="E420" s="3">
        <v>85</v>
      </c>
      <c r="G420" s="3">
        <v>25</v>
      </c>
      <c r="H420" s="3">
        <v>635</v>
      </c>
      <c r="J420" s="3">
        <v>36.5</v>
      </c>
      <c r="K420" s="3">
        <v>45.3</v>
      </c>
      <c r="L420" s="3">
        <v>400</v>
      </c>
      <c r="M420" s="2">
        <f t="shared" si="14"/>
        <v>4.5567521506398228</v>
      </c>
    </row>
    <row r="421" spans="1:13" x14ac:dyDescent="0.3">
      <c r="A421" t="s">
        <v>34</v>
      </c>
      <c r="B421" t="s">
        <v>37</v>
      </c>
      <c r="C421" t="str">
        <f t="shared" si="13"/>
        <v>Curtis_et_al_1982_planted</v>
      </c>
      <c r="E421" s="3">
        <v>85</v>
      </c>
      <c r="G421" s="3">
        <v>30</v>
      </c>
      <c r="H421" s="3">
        <v>1225</v>
      </c>
      <c r="J421" s="3">
        <v>45.9</v>
      </c>
      <c r="K421" s="3">
        <v>70.2</v>
      </c>
      <c r="L421" s="3">
        <v>396</v>
      </c>
      <c r="M421" s="2">
        <f t="shared" si="14"/>
        <v>5.701081702981325</v>
      </c>
    </row>
    <row r="422" spans="1:13" x14ac:dyDescent="0.3">
      <c r="A422" t="s">
        <v>34</v>
      </c>
      <c r="B422" t="s">
        <v>37</v>
      </c>
      <c r="C422" t="str">
        <f t="shared" si="13"/>
        <v>Curtis_et_al_1982_planted</v>
      </c>
      <c r="E422" s="3">
        <v>85</v>
      </c>
      <c r="G422" s="3">
        <v>35</v>
      </c>
      <c r="H422" s="3">
        <v>1967</v>
      </c>
      <c r="J422" s="3">
        <v>54.4</v>
      </c>
      <c r="K422" s="3">
        <v>96</v>
      </c>
      <c r="L422" s="3">
        <v>393</v>
      </c>
      <c r="M422" s="2">
        <f t="shared" si="14"/>
        <v>6.692303730505893</v>
      </c>
    </row>
    <row r="423" spans="1:13" x14ac:dyDescent="0.3">
      <c r="A423" t="s">
        <v>34</v>
      </c>
      <c r="B423" t="s">
        <v>37</v>
      </c>
      <c r="C423" t="str">
        <f t="shared" si="13"/>
        <v>Curtis_et_al_1982_planted</v>
      </c>
      <c r="E423" s="3">
        <v>85</v>
      </c>
      <c r="G423" s="3">
        <v>40</v>
      </c>
      <c r="H423" s="3">
        <v>2787</v>
      </c>
      <c r="J423" s="3">
        <v>62</v>
      </c>
      <c r="K423" s="3">
        <v>120.1</v>
      </c>
      <c r="L423" s="3">
        <v>383</v>
      </c>
      <c r="M423" s="2">
        <f t="shared" si="14"/>
        <v>7.5824301561873266</v>
      </c>
    </row>
    <row r="424" spans="1:13" x14ac:dyDescent="0.3">
      <c r="A424" t="s">
        <v>34</v>
      </c>
      <c r="B424" t="s">
        <v>37</v>
      </c>
      <c r="C424" t="str">
        <f t="shared" si="13"/>
        <v>Curtis_et_al_1982_planted</v>
      </c>
      <c r="E424" s="3">
        <v>85</v>
      </c>
      <c r="G424" s="3">
        <v>45</v>
      </c>
      <c r="H424" s="3">
        <v>3618</v>
      </c>
      <c r="J424" s="3">
        <v>68.900000000000006</v>
      </c>
      <c r="K424" s="3">
        <v>141.69999999999999</v>
      </c>
      <c r="L424" s="3">
        <v>368</v>
      </c>
      <c r="M424" s="2">
        <f t="shared" si="14"/>
        <v>8.4022832438977506</v>
      </c>
    </row>
    <row r="425" spans="1:13" x14ac:dyDescent="0.3">
      <c r="A425" t="s">
        <v>34</v>
      </c>
      <c r="B425" t="s">
        <v>37</v>
      </c>
      <c r="C425" t="str">
        <f t="shared" si="13"/>
        <v>Curtis_et_al_1982_planted</v>
      </c>
      <c r="E425" s="3">
        <v>85</v>
      </c>
      <c r="G425" s="3">
        <v>50</v>
      </c>
      <c r="H425" s="3">
        <v>4429</v>
      </c>
      <c r="J425" s="3">
        <v>75.2</v>
      </c>
      <c r="K425" s="3">
        <v>160.5</v>
      </c>
      <c r="L425" s="3">
        <v>348</v>
      </c>
      <c r="M425" s="2">
        <f t="shared" si="14"/>
        <v>9.1956873771515113</v>
      </c>
    </row>
    <row r="426" spans="1:13" x14ac:dyDescent="0.3">
      <c r="A426" t="s">
        <v>34</v>
      </c>
      <c r="B426" t="s">
        <v>37</v>
      </c>
      <c r="C426" t="str">
        <f t="shared" si="13"/>
        <v>Curtis_et_al_1982_planted</v>
      </c>
      <c r="E426" s="3">
        <v>85</v>
      </c>
      <c r="G426" s="3">
        <v>55</v>
      </c>
      <c r="H426" s="3">
        <v>5228</v>
      </c>
      <c r="J426" s="3">
        <v>80.8</v>
      </c>
      <c r="K426" s="3">
        <v>177.8</v>
      </c>
      <c r="L426" s="3">
        <v>330</v>
      </c>
      <c r="M426" s="2">
        <f t="shared" si="14"/>
        <v>9.9390576635019379</v>
      </c>
    </row>
    <row r="427" spans="1:13" x14ac:dyDescent="0.3">
      <c r="A427" t="s">
        <v>34</v>
      </c>
      <c r="B427" t="s">
        <v>37</v>
      </c>
      <c r="C427" t="str">
        <f t="shared" si="13"/>
        <v>Curtis_et_al_1982_planted</v>
      </c>
      <c r="E427" s="3">
        <v>85</v>
      </c>
      <c r="G427" s="3">
        <v>60</v>
      </c>
      <c r="H427" s="3">
        <v>6007</v>
      </c>
      <c r="J427" s="3">
        <v>86</v>
      </c>
      <c r="K427" s="3">
        <v>193.8</v>
      </c>
      <c r="L427" s="3">
        <v>314</v>
      </c>
      <c r="M427" s="2">
        <f t="shared" si="14"/>
        <v>10.637715329378894</v>
      </c>
    </row>
    <row r="428" spans="1:13" x14ac:dyDescent="0.3">
      <c r="A428" t="s">
        <v>34</v>
      </c>
      <c r="B428" t="s">
        <v>37</v>
      </c>
      <c r="C428" t="str">
        <f t="shared" si="13"/>
        <v>Curtis_et_al_1982_planted</v>
      </c>
      <c r="E428" s="3">
        <v>85</v>
      </c>
      <c r="G428" s="3">
        <v>65</v>
      </c>
      <c r="H428" s="3">
        <v>6759</v>
      </c>
      <c r="J428" s="3">
        <v>90.7</v>
      </c>
      <c r="K428" s="3">
        <v>208.6</v>
      </c>
      <c r="L428" s="3">
        <v>299</v>
      </c>
      <c r="M428" s="2">
        <f t="shared" si="14"/>
        <v>11.309876426033682</v>
      </c>
    </row>
    <row r="429" spans="1:13" x14ac:dyDescent="0.3">
      <c r="A429" t="s">
        <v>34</v>
      </c>
      <c r="B429" t="s">
        <v>37</v>
      </c>
      <c r="C429" t="str">
        <f t="shared" si="13"/>
        <v>Curtis_et_al_1982_planted</v>
      </c>
      <c r="E429" s="3">
        <v>85</v>
      </c>
      <c r="G429" s="3">
        <v>70</v>
      </c>
      <c r="H429" s="3">
        <v>7482</v>
      </c>
      <c r="J429" s="3">
        <v>95</v>
      </c>
      <c r="K429" s="3">
        <v>222.4</v>
      </c>
      <c r="L429" s="3">
        <v>285</v>
      </c>
      <c r="M429" s="2">
        <f t="shared" si="14"/>
        <v>11.961379329834074</v>
      </c>
    </row>
    <row r="430" spans="1:13" x14ac:dyDescent="0.3">
      <c r="A430" t="s">
        <v>34</v>
      </c>
      <c r="B430" t="s">
        <v>37</v>
      </c>
      <c r="C430" t="str">
        <f t="shared" si="13"/>
        <v>Curtis_et_al_1982_planted</v>
      </c>
      <c r="E430" s="3">
        <v>85</v>
      </c>
      <c r="G430" s="3">
        <v>75</v>
      </c>
      <c r="H430" s="3">
        <v>8173</v>
      </c>
      <c r="J430" s="3">
        <v>99</v>
      </c>
      <c r="K430" s="3">
        <v>235.3</v>
      </c>
      <c r="L430" s="3">
        <v>271</v>
      </c>
      <c r="M430" s="2">
        <f t="shared" si="14"/>
        <v>12.617189330626355</v>
      </c>
    </row>
    <row r="431" spans="1:13" x14ac:dyDescent="0.3">
      <c r="A431" t="s">
        <v>34</v>
      </c>
      <c r="B431" t="s">
        <v>37</v>
      </c>
      <c r="C431" t="str">
        <f t="shared" si="13"/>
        <v>Curtis_et_al_1982_planted</v>
      </c>
      <c r="E431" s="3">
        <v>85</v>
      </c>
      <c r="G431" s="3">
        <v>80</v>
      </c>
      <c r="H431" s="3">
        <v>8813</v>
      </c>
      <c r="J431" s="3">
        <v>102.7</v>
      </c>
      <c r="K431" s="3">
        <v>246.7</v>
      </c>
      <c r="L431" s="3">
        <v>258</v>
      </c>
      <c r="M431" s="2">
        <f t="shared" si="14"/>
        <v>13.24070237677387</v>
      </c>
    </row>
    <row r="432" spans="1:13" x14ac:dyDescent="0.3">
      <c r="A432" t="s">
        <v>34</v>
      </c>
      <c r="B432" t="s">
        <v>37</v>
      </c>
      <c r="C432" t="str">
        <f t="shared" si="13"/>
        <v>Curtis_et_al_1982_planted</v>
      </c>
      <c r="E432" s="3">
        <v>85</v>
      </c>
      <c r="G432" s="3">
        <v>85</v>
      </c>
      <c r="H432" s="3">
        <v>9384</v>
      </c>
      <c r="J432" s="3">
        <v>106.1</v>
      </c>
      <c r="K432" s="3">
        <v>256.3</v>
      </c>
      <c r="L432" s="3">
        <v>244</v>
      </c>
      <c r="M432" s="2">
        <f t="shared" si="14"/>
        <v>13.877642381888217</v>
      </c>
    </row>
    <row r="433" spans="1:13" x14ac:dyDescent="0.3">
      <c r="A433" t="s">
        <v>34</v>
      </c>
      <c r="B433" t="s">
        <v>37</v>
      </c>
      <c r="C433" t="str">
        <f t="shared" si="13"/>
        <v>Curtis_et_al_1982_planted</v>
      </c>
      <c r="E433" s="3">
        <v>85</v>
      </c>
      <c r="G433" s="3">
        <v>90</v>
      </c>
      <c r="H433" s="3">
        <v>9895</v>
      </c>
      <c r="J433" s="3">
        <v>109.2</v>
      </c>
      <c r="K433" s="3">
        <v>264.60000000000002</v>
      </c>
      <c r="L433" s="3">
        <v>232</v>
      </c>
      <c r="M433" s="2">
        <f t="shared" si="14"/>
        <v>14.460630508453313</v>
      </c>
    </row>
    <row r="434" spans="1:13" x14ac:dyDescent="0.3">
      <c r="A434" t="s">
        <v>34</v>
      </c>
      <c r="B434" t="s">
        <v>37</v>
      </c>
      <c r="C434" t="str">
        <f t="shared" si="13"/>
        <v>Curtis_et_al_1982_planted</v>
      </c>
      <c r="E434" s="3">
        <v>85</v>
      </c>
      <c r="G434" s="3">
        <v>95</v>
      </c>
      <c r="H434" s="3">
        <v>10359</v>
      </c>
      <c r="J434" s="3">
        <v>112.2</v>
      </c>
      <c r="K434" s="3">
        <v>272</v>
      </c>
      <c r="L434" s="3">
        <v>220</v>
      </c>
      <c r="M434" s="2">
        <f t="shared" si="14"/>
        <v>15.055993323102195</v>
      </c>
    </row>
    <row r="435" spans="1:13" x14ac:dyDescent="0.3">
      <c r="A435" t="s">
        <v>34</v>
      </c>
      <c r="B435" t="s">
        <v>37</v>
      </c>
      <c r="C435" t="str">
        <f t="shared" si="13"/>
        <v>Curtis_et_al_1982_planted</v>
      </c>
      <c r="E435" s="3">
        <v>85</v>
      </c>
      <c r="G435" s="3">
        <v>100</v>
      </c>
      <c r="H435" s="3">
        <v>10784</v>
      </c>
      <c r="J435" s="3">
        <v>114.9</v>
      </c>
      <c r="K435" s="3">
        <v>278.8</v>
      </c>
      <c r="L435" s="3">
        <v>209</v>
      </c>
      <c r="M435" s="2">
        <f t="shared" si="14"/>
        <v>15.639020305798885</v>
      </c>
    </row>
    <row r="436" spans="1:13" x14ac:dyDescent="0.3">
      <c r="A436" t="s">
        <v>34</v>
      </c>
      <c r="B436" t="s">
        <v>37</v>
      </c>
      <c r="C436" t="str">
        <f t="shared" si="13"/>
        <v>Curtis_et_al_1982_planted</v>
      </c>
      <c r="E436" s="3">
        <v>105</v>
      </c>
      <c r="G436" s="3">
        <v>20</v>
      </c>
      <c r="H436" s="3">
        <v>506</v>
      </c>
      <c r="J436" s="3">
        <v>33.799999999999997</v>
      </c>
      <c r="K436" s="3">
        <v>38.700000000000003</v>
      </c>
      <c r="L436" s="3">
        <v>400</v>
      </c>
      <c r="M436" s="2">
        <f t="shared" si="14"/>
        <v>4.2117422823117678</v>
      </c>
    </row>
    <row r="437" spans="1:13" x14ac:dyDescent="0.3">
      <c r="A437" t="s">
        <v>34</v>
      </c>
      <c r="B437" t="s">
        <v>37</v>
      </c>
      <c r="C437" t="str">
        <f t="shared" si="13"/>
        <v>Curtis_et_al_1982_planted</v>
      </c>
      <c r="E437" s="3">
        <v>105</v>
      </c>
      <c r="G437" s="3">
        <v>25</v>
      </c>
      <c r="H437" s="3">
        <v>1273</v>
      </c>
      <c r="J437" s="3">
        <v>46.4</v>
      </c>
      <c r="K437" s="3">
        <v>71.900000000000006</v>
      </c>
      <c r="L437" s="3">
        <v>397</v>
      </c>
      <c r="M437" s="2">
        <f t="shared" si="14"/>
        <v>5.7624277565513378</v>
      </c>
    </row>
    <row r="438" spans="1:13" x14ac:dyDescent="0.3">
      <c r="A438" t="s">
        <v>34</v>
      </c>
      <c r="B438" t="s">
        <v>37</v>
      </c>
      <c r="C438" t="str">
        <f t="shared" si="13"/>
        <v>Curtis_et_al_1982_planted</v>
      </c>
      <c r="E438" s="3">
        <v>105</v>
      </c>
      <c r="G438" s="3">
        <v>30</v>
      </c>
      <c r="H438" s="3">
        <v>2277</v>
      </c>
      <c r="J438" s="3">
        <v>58</v>
      </c>
      <c r="K438" s="3">
        <v>104</v>
      </c>
      <c r="L438" s="3">
        <v>392</v>
      </c>
      <c r="M438" s="2">
        <f t="shared" si="14"/>
        <v>6.974449564263562</v>
      </c>
    </row>
    <row r="439" spans="1:13" x14ac:dyDescent="0.3">
      <c r="A439" t="s">
        <v>34</v>
      </c>
      <c r="B439" t="s">
        <v>37</v>
      </c>
      <c r="C439" t="str">
        <f t="shared" si="13"/>
        <v>Curtis_et_al_1982_planted</v>
      </c>
      <c r="E439" s="3">
        <v>105</v>
      </c>
      <c r="G439" s="3">
        <v>35</v>
      </c>
      <c r="H439" s="3">
        <v>3394</v>
      </c>
      <c r="J439" s="3">
        <v>68.400000000000006</v>
      </c>
      <c r="K439" s="3">
        <v>132.80000000000001</v>
      </c>
      <c r="L439" s="3">
        <v>373</v>
      </c>
      <c r="M439" s="2">
        <f t="shared" si="14"/>
        <v>8.0794337376203735</v>
      </c>
    </row>
    <row r="440" spans="1:13" x14ac:dyDescent="0.3">
      <c r="A440" t="s">
        <v>34</v>
      </c>
      <c r="B440" t="s">
        <v>37</v>
      </c>
      <c r="C440" t="str">
        <f t="shared" si="13"/>
        <v>Curtis_et_al_1982_planted</v>
      </c>
      <c r="E440" s="3">
        <v>105</v>
      </c>
      <c r="G440" s="3">
        <v>40</v>
      </c>
      <c r="H440" s="3">
        <v>4519</v>
      </c>
      <c r="J440" s="3">
        <v>77.900000000000006</v>
      </c>
      <c r="K440" s="3">
        <v>157.1</v>
      </c>
      <c r="L440" s="3">
        <v>348</v>
      </c>
      <c r="M440" s="2">
        <f t="shared" si="14"/>
        <v>9.0977662116609981</v>
      </c>
    </row>
    <row r="441" spans="1:13" x14ac:dyDescent="0.3">
      <c r="A441" t="s">
        <v>34</v>
      </c>
      <c r="B441" t="s">
        <v>37</v>
      </c>
      <c r="C441" t="str">
        <f t="shared" si="13"/>
        <v>Curtis_et_al_1982_planted</v>
      </c>
      <c r="E441" s="3">
        <v>105</v>
      </c>
      <c r="G441" s="3">
        <v>45</v>
      </c>
      <c r="H441" s="3">
        <v>5637</v>
      </c>
      <c r="J441" s="3">
        <v>86.4</v>
      </c>
      <c r="K441" s="3">
        <v>178.3</v>
      </c>
      <c r="L441" s="3">
        <v>324</v>
      </c>
      <c r="M441" s="2">
        <f t="shared" si="14"/>
        <v>10.04475777449276</v>
      </c>
    </row>
    <row r="442" spans="1:13" x14ac:dyDescent="0.3">
      <c r="A442" t="s">
        <v>34</v>
      </c>
      <c r="B442" t="s">
        <v>37</v>
      </c>
      <c r="C442" t="str">
        <f t="shared" si="13"/>
        <v>Curtis_et_al_1982_planted</v>
      </c>
      <c r="E442" s="3">
        <v>105</v>
      </c>
      <c r="G442" s="3">
        <v>50</v>
      </c>
      <c r="H442" s="3">
        <v>6734</v>
      </c>
      <c r="J442" s="3">
        <v>94.1</v>
      </c>
      <c r="K442" s="3">
        <v>197.4</v>
      </c>
      <c r="L442" s="3">
        <v>301</v>
      </c>
      <c r="M442" s="2">
        <f t="shared" si="14"/>
        <v>10.965454274618727</v>
      </c>
    </row>
    <row r="443" spans="1:13" x14ac:dyDescent="0.3">
      <c r="A443" t="s">
        <v>34</v>
      </c>
      <c r="B443" t="s">
        <v>37</v>
      </c>
      <c r="C443" t="str">
        <f t="shared" si="13"/>
        <v>Curtis_et_al_1982_planted</v>
      </c>
      <c r="E443" s="3">
        <v>105</v>
      </c>
      <c r="G443" s="3">
        <v>55</v>
      </c>
      <c r="H443" s="3">
        <v>7796</v>
      </c>
      <c r="J443" s="3">
        <v>101.1</v>
      </c>
      <c r="K443" s="3">
        <v>214.7</v>
      </c>
      <c r="L443" s="3">
        <v>280</v>
      </c>
      <c r="M443" s="2">
        <f t="shared" si="14"/>
        <v>11.856958735127233</v>
      </c>
    </row>
    <row r="444" spans="1:13" x14ac:dyDescent="0.3">
      <c r="A444" t="s">
        <v>34</v>
      </c>
      <c r="B444" t="s">
        <v>37</v>
      </c>
      <c r="C444" t="str">
        <f t="shared" si="13"/>
        <v>Curtis_et_al_1982_planted</v>
      </c>
      <c r="E444" s="3">
        <v>105</v>
      </c>
      <c r="G444" s="3">
        <v>60</v>
      </c>
      <c r="H444" s="3">
        <v>8832</v>
      </c>
      <c r="J444" s="3">
        <v>107.5</v>
      </c>
      <c r="K444" s="3">
        <v>230.1</v>
      </c>
      <c r="L444" s="3">
        <v>261</v>
      </c>
      <c r="M444" s="2">
        <f t="shared" si="14"/>
        <v>12.713770206002534</v>
      </c>
    </row>
    <row r="445" spans="1:13" x14ac:dyDescent="0.3">
      <c r="A445" t="s">
        <v>34</v>
      </c>
      <c r="B445" t="s">
        <v>37</v>
      </c>
      <c r="C445" t="str">
        <f t="shared" si="13"/>
        <v>Curtis_et_al_1982_planted</v>
      </c>
      <c r="E445" s="3">
        <v>105</v>
      </c>
      <c r="G445" s="3">
        <v>65</v>
      </c>
      <c r="H445" s="3">
        <v>9823</v>
      </c>
      <c r="J445" s="3">
        <v>113.3</v>
      </c>
      <c r="K445" s="3">
        <v>244.2</v>
      </c>
      <c r="L445" s="3">
        <v>245</v>
      </c>
      <c r="M445" s="2">
        <f t="shared" si="14"/>
        <v>13.518424800199512</v>
      </c>
    </row>
    <row r="446" spans="1:13" x14ac:dyDescent="0.3">
      <c r="A446" t="s">
        <v>34</v>
      </c>
      <c r="B446" t="s">
        <v>37</v>
      </c>
      <c r="C446" t="str">
        <f t="shared" si="13"/>
        <v>Curtis_et_al_1982_planted</v>
      </c>
      <c r="E446" s="3">
        <v>105</v>
      </c>
      <c r="G446" s="3">
        <v>70</v>
      </c>
      <c r="H446" s="3">
        <v>10733</v>
      </c>
      <c r="J446" s="3">
        <v>118.7</v>
      </c>
      <c r="K446" s="3">
        <v>256.39999999999998</v>
      </c>
      <c r="L446" s="3">
        <v>230</v>
      </c>
      <c r="M446" s="2">
        <f t="shared" si="14"/>
        <v>14.296554832875785</v>
      </c>
    </row>
    <row r="447" spans="1:13" x14ac:dyDescent="0.3">
      <c r="A447" t="s">
        <v>34</v>
      </c>
      <c r="B447" t="s">
        <v>37</v>
      </c>
      <c r="C447" t="str">
        <f t="shared" si="13"/>
        <v>Curtis_et_al_1982_planted</v>
      </c>
      <c r="E447" s="3">
        <v>105</v>
      </c>
      <c r="G447" s="3">
        <v>75</v>
      </c>
      <c r="H447" s="3">
        <v>11543</v>
      </c>
      <c r="J447" s="3">
        <v>123.7</v>
      </c>
      <c r="K447" s="3">
        <v>266.60000000000002</v>
      </c>
      <c r="L447" s="3">
        <v>216</v>
      </c>
      <c r="M447" s="2">
        <f t="shared" si="14"/>
        <v>15.043174691082255</v>
      </c>
    </row>
    <row r="448" spans="1:13" x14ac:dyDescent="0.3">
      <c r="A448" t="s">
        <v>34</v>
      </c>
      <c r="B448" t="s">
        <v>37</v>
      </c>
      <c r="C448" t="str">
        <f t="shared" si="13"/>
        <v>Curtis_et_al_1982_planted</v>
      </c>
      <c r="E448" s="3">
        <v>105</v>
      </c>
      <c r="G448" s="3">
        <v>80</v>
      </c>
      <c r="H448" s="3">
        <v>12273</v>
      </c>
      <c r="J448" s="3">
        <v>128.19999999999999</v>
      </c>
      <c r="K448" s="3">
        <v>275.39999999999998</v>
      </c>
      <c r="L448" s="3">
        <v>203</v>
      </c>
      <c r="M448" s="2">
        <f t="shared" si="14"/>
        <v>15.7714001551079</v>
      </c>
    </row>
    <row r="449" spans="1:13" x14ac:dyDescent="0.3">
      <c r="A449" t="s">
        <v>34</v>
      </c>
      <c r="B449" t="s">
        <v>37</v>
      </c>
      <c r="C449" t="str">
        <f t="shared" si="13"/>
        <v>Curtis_et_al_1982_planted</v>
      </c>
      <c r="E449" s="3">
        <v>105</v>
      </c>
      <c r="G449" s="3">
        <v>85</v>
      </c>
      <c r="H449" s="3">
        <v>12940</v>
      </c>
      <c r="J449" s="3">
        <v>132.5</v>
      </c>
      <c r="K449" s="3">
        <v>283.2</v>
      </c>
      <c r="L449" s="3">
        <v>191</v>
      </c>
      <c r="M449" s="2">
        <f t="shared" si="14"/>
        <v>16.487934092624947</v>
      </c>
    </row>
    <row r="450" spans="1:13" x14ac:dyDescent="0.3">
      <c r="A450" t="s">
        <v>34</v>
      </c>
      <c r="B450" t="s">
        <v>37</v>
      </c>
      <c r="C450" t="str">
        <f t="shared" si="13"/>
        <v>Curtis_et_al_1982_planted</v>
      </c>
      <c r="E450" s="3">
        <v>105</v>
      </c>
      <c r="G450" s="3">
        <v>90</v>
      </c>
      <c r="H450" s="3">
        <v>13553</v>
      </c>
      <c r="J450" s="3">
        <v>136.5</v>
      </c>
      <c r="K450" s="3">
        <v>290.39999999999998</v>
      </c>
      <c r="L450" s="3">
        <v>181</v>
      </c>
      <c r="M450" s="2">
        <f t="shared" si="14"/>
        <v>17.151231956712202</v>
      </c>
    </row>
    <row r="451" spans="1:13" x14ac:dyDescent="0.3">
      <c r="A451" t="s">
        <v>34</v>
      </c>
      <c r="B451" t="s">
        <v>37</v>
      </c>
      <c r="C451" t="str">
        <f t="shared" ref="C451:C488" si="15">IF(ISBLANK(B451),A451,A451&amp;"_"&amp;B451)</f>
        <v>Curtis_et_al_1982_planted</v>
      </c>
      <c r="E451" s="3">
        <v>105</v>
      </c>
      <c r="G451" s="3">
        <v>95</v>
      </c>
      <c r="H451" s="3">
        <v>14120</v>
      </c>
      <c r="J451" s="3">
        <v>140.19999999999999</v>
      </c>
      <c r="K451" s="3">
        <v>297</v>
      </c>
      <c r="L451" s="3">
        <v>171</v>
      </c>
      <c r="M451" s="2">
        <f t="shared" si="14"/>
        <v>17.844996673837002</v>
      </c>
    </row>
    <row r="452" spans="1:13" x14ac:dyDescent="0.3">
      <c r="A452" t="s">
        <v>34</v>
      </c>
      <c r="B452" t="s">
        <v>37</v>
      </c>
      <c r="C452" t="str">
        <f t="shared" si="15"/>
        <v>Curtis_et_al_1982_planted</v>
      </c>
      <c r="E452" s="3">
        <v>105</v>
      </c>
      <c r="G452" s="3">
        <v>100</v>
      </c>
      <c r="H452" s="3">
        <v>14646</v>
      </c>
      <c r="J452" s="3">
        <v>143.6</v>
      </c>
      <c r="K452" s="3">
        <v>303.2</v>
      </c>
      <c r="L452" s="3">
        <v>163</v>
      </c>
      <c r="M452" s="2">
        <f t="shared" si="14"/>
        <v>18.467457071610831</v>
      </c>
    </row>
    <row r="453" spans="1:13" x14ac:dyDescent="0.3">
      <c r="A453" t="s">
        <v>34</v>
      </c>
      <c r="B453" t="s">
        <v>37</v>
      </c>
      <c r="C453" t="str">
        <f t="shared" si="15"/>
        <v>Curtis_et_al_1982_planted</v>
      </c>
      <c r="E453" s="3">
        <v>125</v>
      </c>
      <c r="G453" s="3">
        <v>15</v>
      </c>
      <c r="H453" s="3">
        <v>236</v>
      </c>
      <c r="J453" s="3">
        <v>26.6</v>
      </c>
      <c r="K453" s="3">
        <v>22.8</v>
      </c>
      <c r="L453" s="3">
        <v>400</v>
      </c>
      <c r="M453" s="2">
        <f t="shared" si="14"/>
        <v>3.2327619794059657</v>
      </c>
    </row>
    <row r="454" spans="1:13" x14ac:dyDescent="0.3">
      <c r="A454" t="s">
        <v>34</v>
      </c>
      <c r="B454" t="s">
        <v>37</v>
      </c>
      <c r="C454" t="str">
        <f t="shared" si="15"/>
        <v>Curtis_et_al_1982_planted</v>
      </c>
      <c r="E454" s="3">
        <v>125</v>
      </c>
      <c r="G454" s="3">
        <v>20</v>
      </c>
      <c r="H454" s="3">
        <v>987</v>
      </c>
      <c r="J454" s="3">
        <v>42.3</v>
      </c>
      <c r="K454" s="3">
        <v>60.7</v>
      </c>
      <c r="L454" s="3">
        <v>399</v>
      </c>
      <c r="M454" s="5">
        <f t="shared" si="14"/>
        <v>5.2813408798171553</v>
      </c>
    </row>
    <row r="455" spans="1:13" x14ac:dyDescent="0.3">
      <c r="A455" t="s">
        <v>34</v>
      </c>
      <c r="B455" t="s">
        <v>37</v>
      </c>
      <c r="C455" t="str">
        <f t="shared" si="15"/>
        <v>Curtis_et_al_1982_planted</v>
      </c>
      <c r="E455" s="3">
        <v>125</v>
      </c>
      <c r="G455" s="3">
        <v>25</v>
      </c>
      <c r="H455" s="3">
        <v>2180</v>
      </c>
      <c r="J455" s="3">
        <v>57.2</v>
      </c>
      <c r="K455" s="3">
        <v>100.6</v>
      </c>
      <c r="L455" s="3">
        <v>394</v>
      </c>
      <c r="M455" s="2">
        <f t="shared" si="14"/>
        <v>6.8420647737166407</v>
      </c>
    </row>
    <row r="456" spans="1:13" x14ac:dyDescent="0.3">
      <c r="A456" t="s">
        <v>34</v>
      </c>
      <c r="B456" t="s">
        <v>37</v>
      </c>
      <c r="C456" t="str">
        <f t="shared" si="15"/>
        <v>Curtis_et_al_1982_planted</v>
      </c>
      <c r="E456" s="3">
        <v>125</v>
      </c>
      <c r="G456" s="3">
        <v>30</v>
      </c>
      <c r="H456" s="3">
        <v>3592</v>
      </c>
      <c r="J456" s="3">
        <v>70.7</v>
      </c>
      <c r="K456" s="3">
        <v>135.6</v>
      </c>
      <c r="L456" s="3">
        <v>370</v>
      </c>
      <c r="M456" s="2">
        <f t="shared" si="14"/>
        <v>8.1971953422748829</v>
      </c>
    </row>
    <row r="457" spans="1:13" x14ac:dyDescent="0.3">
      <c r="A457" t="s">
        <v>34</v>
      </c>
      <c r="B457" t="s">
        <v>37</v>
      </c>
      <c r="C457" t="str">
        <f t="shared" si="15"/>
        <v>Curtis_et_al_1982_planted</v>
      </c>
      <c r="E457" s="3">
        <v>125</v>
      </c>
      <c r="G457" s="3">
        <v>35</v>
      </c>
      <c r="H457" s="3">
        <v>5048</v>
      </c>
      <c r="J457" s="3">
        <v>83.1</v>
      </c>
      <c r="K457" s="3">
        <v>164.2</v>
      </c>
      <c r="L457" s="3">
        <v>337</v>
      </c>
      <c r="M457" s="2">
        <f t="shared" si="14"/>
        <v>9.4516564582607838</v>
      </c>
    </row>
    <row r="458" spans="1:13" x14ac:dyDescent="0.3">
      <c r="A458" t="s">
        <v>34</v>
      </c>
      <c r="B458" t="s">
        <v>37</v>
      </c>
      <c r="C458" t="str">
        <f t="shared" si="15"/>
        <v>Curtis_et_al_1982_planted</v>
      </c>
      <c r="E458" s="3">
        <v>125</v>
      </c>
      <c r="G458" s="3">
        <v>40</v>
      </c>
      <c r="H458" s="3">
        <v>6513</v>
      </c>
      <c r="J458" s="3">
        <v>94.2</v>
      </c>
      <c r="K458" s="3">
        <v>188.7</v>
      </c>
      <c r="L458" s="3">
        <v>305</v>
      </c>
      <c r="M458" s="2">
        <f t="shared" ref="M458:M488" si="16">IF(NOT(OR(ISBLANK(L458),ISBLANK(K458))),SQRT((K458/L458)/0.005454154),"")</f>
        <v>10.650557277196327</v>
      </c>
    </row>
    <row r="459" spans="1:13" x14ac:dyDescent="0.3">
      <c r="A459" t="s">
        <v>34</v>
      </c>
      <c r="B459" t="s">
        <v>37</v>
      </c>
      <c r="C459" t="str">
        <f t="shared" si="15"/>
        <v>Curtis_et_al_1982_planted</v>
      </c>
      <c r="E459" s="3">
        <v>125</v>
      </c>
      <c r="G459" s="3">
        <v>45</v>
      </c>
      <c r="H459" s="3">
        <v>7961</v>
      </c>
      <c r="J459" s="3">
        <v>104.3</v>
      </c>
      <c r="K459" s="3">
        <v>218.1</v>
      </c>
      <c r="L459" s="3">
        <v>277</v>
      </c>
      <c r="M459" s="2">
        <f t="shared" si="16"/>
        <v>12.015013141075841</v>
      </c>
    </row>
    <row r="460" spans="1:13" x14ac:dyDescent="0.3">
      <c r="A460" t="s">
        <v>34</v>
      </c>
      <c r="B460" t="s">
        <v>37</v>
      </c>
      <c r="C460" t="str">
        <f t="shared" si="15"/>
        <v>Curtis_et_al_1982_planted</v>
      </c>
      <c r="E460" s="3">
        <v>125</v>
      </c>
      <c r="G460" s="3">
        <v>50</v>
      </c>
      <c r="H460" s="3">
        <v>9382</v>
      </c>
      <c r="J460" s="3">
        <v>113.5</v>
      </c>
      <c r="K460" s="3">
        <v>228.6</v>
      </c>
      <c r="L460" s="3">
        <v>253</v>
      </c>
      <c r="M460" s="2">
        <f t="shared" si="16"/>
        <v>12.87105524308852</v>
      </c>
    </row>
    <row r="461" spans="1:13" x14ac:dyDescent="0.3">
      <c r="A461" t="s">
        <v>34</v>
      </c>
      <c r="B461" t="s">
        <v>37</v>
      </c>
      <c r="C461" t="str">
        <f t="shared" si="15"/>
        <v>Curtis_et_al_1982_planted</v>
      </c>
      <c r="E461" s="3">
        <v>125</v>
      </c>
      <c r="G461" s="3">
        <v>55</v>
      </c>
      <c r="H461" s="3">
        <v>10749</v>
      </c>
      <c r="J461" s="3">
        <v>121.9</v>
      </c>
      <c r="K461" s="3">
        <v>245.1</v>
      </c>
      <c r="L461" s="3">
        <v>233</v>
      </c>
      <c r="M461" s="2">
        <f t="shared" si="16"/>
        <v>13.887689467325147</v>
      </c>
    </row>
    <row r="462" spans="1:13" x14ac:dyDescent="0.3">
      <c r="A462" t="s">
        <v>34</v>
      </c>
      <c r="B462" t="s">
        <v>37</v>
      </c>
      <c r="C462" t="str">
        <f t="shared" si="15"/>
        <v>Curtis_et_al_1982_planted</v>
      </c>
      <c r="E462" s="3">
        <v>125</v>
      </c>
      <c r="G462" s="3">
        <v>60</v>
      </c>
      <c r="H462" s="3">
        <v>12031</v>
      </c>
      <c r="J462" s="3">
        <v>129.5</v>
      </c>
      <c r="K462" s="3">
        <v>259.5</v>
      </c>
      <c r="L462" s="3">
        <v>216</v>
      </c>
      <c r="M462" s="2">
        <f t="shared" si="16"/>
        <v>14.841510627449919</v>
      </c>
    </row>
    <row r="463" spans="1:13" x14ac:dyDescent="0.3">
      <c r="A463" t="s">
        <v>34</v>
      </c>
      <c r="B463" t="s">
        <v>37</v>
      </c>
      <c r="C463" t="str">
        <f t="shared" si="15"/>
        <v>Curtis_et_al_1982_planted</v>
      </c>
      <c r="E463" s="3">
        <v>125</v>
      </c>
      <c r="G463" s="3">
        <v>65</v>
      </c>
      <c r="H463" s="3">
        <v>13181</v>
      </c>
      <c r="J463" s="3">
        <v>136.6</v>
      </c>
      <c r="K463" s="3">
        <v>271.3</v>
      </c>
      <c r="L463" s="3">
        <v>200</v>
      </c>
      <c r="M463" s="2">
        <f t="shared" si="16"/>
        <v>15.7705268053917</v>
      </c>
    </row>
    <row r="464" spans="1:13" x14ac:dyDescent="0.3">
      <c r="A464" t="s">
        <v>34</v>
      </c>
      <c r="B464" t="s">
        <v>37</v>
      </c>
      <c r="C464" t="str">
        <f t="shared" si="15"/>
        <v>Curtis_et_al_1982_planted</v>
      </c>
      <c r="E464" s="3">
        <v>125</v>
      </c>
      <c r="G464" s="3">
        <v>70</v>
      </c>
      <c r="H464" s="3">
        <v>14220</v>
      </c>
      <c r="J464" s="3">
        <v>143.1</v>
      </c>
      <c r="K464" s="3">
        <v>281.2</v>
      </c>
      <c r="L464" s="3">
        <v>186</v>
      </c>
      <c r="M464" s="2">
        <f t="shared" si="16"/>
        <v>16.648974492904959</v>
      </c>
    </row>
    <row r="465" spans="1:13" x14ac:dyDescent="0.3">
      <c r="A465" t="s">
        <v>34</v>
      </c>
      <c r="B465" t="s">
        <v>37</v>
      </c>
      <c r="C465" t="str">
        <f t="shared" si="15"/>
        <v>Curtis_et_al_1982_planted</v>
      </c>
      <c r="E465" s="3">
        <v>125</v>
      </c>
      <c r="G465" s="3">
        <v>75</v>
      </c>
      <c r="H465" s="3">
        <v>15168</v>
      </c>
      <c r="J465" s="3">
        <v>149.1</v>
      </c>
      <c r="K465" s="3">
        <v>289.89999999999998</v>
      </c>
      <c r="L465" s="3">
        <v>174</v>
      </c>
      <c r="M465" s="2">
        <f t="shared" si="16"/>
        <v>17.477760562677449</v>
      </c>
    </row>
    <row r="466" spans="1:13" x14ac:dyDescent="0.3">
      <c r="A466" t="s">
        <v>34</v>
      </c>
      <c r="B466" t="s">
        <v>37</v>
      </c>
      <c r="C466" t="str">
        <f t="shared" si="15"/>
        <v>Curtis_et_al_1982_planted</v>
      </c>
      <c r="E466" s="3">
        <v>125</v>
      </c>
      <c r="G466" s="3">
        <v>80</v>
      </c>
      <c r="H466" s="3">
        <v>16043</v>
      </c>
      <c r="J466" s="3">
        <v>154.69999999999999</v>
      </c>
      <c r="K466" s="3">
        <v>297.8</v>
      </c>
      <c r="L466" s="3">
        <v>163</v>
      </c>
      <c r="M466" s="2">
        <f t="shared" si="16"/>
        <v>18.302265300917462</v>
      </c>
    </row>
    <row r="467" spans="1:13" x14ac:dyDescent="0.3">
      <c r="A467" t="s">
        <v>34</v>
      </c>
      <c r="B467" t="s">
        <v>37</v>
      </c>
      <c r="C467" t="str">
        <f t="shared" si="15"/>
        <v>Curtis_et_al_1982_planted</v>
      </c>
      <c r="E467" s="3">
        <v>125</v>
      </c>
      <c r="G467" s="3">
        <v>85</v>
      </c>
      <c r="H467" s="3">
        <v>16854</v>
      </c>
      <c r="J467" s="3">
        <v>159.9</v>
      </c>
      <c r="K467" s="3">
        <v>305</v>
      </c>
      <c r="L467" s="3">
        <v>153</v>
      </c>
      <c r="M467" s="2">
        <f t="shared" si="16"/>
        <v>19.117914110018596</v>
      </c>
    </row>
    <row r="468" spans="1:13" x14ac:dyDescent="0.3">
      <c r="A468" t="s">
        <v>34</v>
      </c>
      <c r="B468" t="s">
        <v>37</v>
      </c>
      <c r="C468" t="str">
        <f t="shared" si="15"/>
        <v>Curtis_et_al_1982_planted</v>
      </c>
      <c r="E468" s="3">
        <v>125</v>
      </c>
      <c r="G468" s="3">
        <v>90</v>
      </c>
      <c r="H468" s="3">
        <v>17608</v>
      </c>
      <c r="J468" s="3">
        <v>164.7</v>
      </c>
      <c r="K468" s="3">
        <v>311.7</v>
      </c>
      <c r="L468" s="3">
        <v>145</v>
      </c>
      <c r="M468" s="2">
        <f t="shared" si="16"/>
        <v>19.852751290353289</v>
      </c>
    </row>
    <row r="469" spans="1:13" x14ac:dyDescent="0.3">
      <c r="A469" t="s">
        <v>34</v>
      </c>
      <c r="B469" t="s">
        <v>37</v>
      </c>
      <c r="C469" t="str">
        <f t="shared" si="15"/>
        <v>Curtis_et_al_1982_planted</v>
      </c>
      <c r="E469" s="3">
        <v>125</v>
      </c>
      <c r="G469" s="3">
        <v>95</v>
      </c>
      <c r="H469" s="3">
        <v>18310</v>
      </c>
      <c r="J469" s="3">
        <v>169.3</v>
      </c>
      <c r="K469" s="3">
        <v>318</v>
      </c>
      <c r="L469" s="3">
        <v>138</v>
      </c>
      <c r="M469" s="2">
        <f t="shared" si="16"/>
        <v>20.554661006895827</v>
      </c>
    </row>
    <row r="470" spans="1:13" x14ac:dyDescent="0.3">
      <c r="A470" t="s">
        <v>34</v>
      </c>
      <c r="B470" t="s">
        <v>37</v>
      </c>
      <c r="C470" t="str">
        <f t="shared" si="15"/>
        <v>Curtis_et_al_1982_planted</v>
      </c>
      <c r="E470" s="3">
        <v>125</v>
      </c>
      <c r="G470" s="3">
        <v>100</v>
      </c>
      <c r="H470" s="3">
        <v>18965</v>
      </c>
      <c r="J470" s="3">
        <v>173.6</v>
      </c>
      <c r="K470" s="3">
        <v>324</v>
      </c>
      <c r="L470" s="3">
        <v>131</v>
      </c>
      <c r="M470" s="2">
        <f t="shared" si="16"/>
        <v>21.294780073203359</v>
      </c>
    </row>
    <row r="471" spans="1:13" x14ac:dyDescent="0.3">
      <c r="A471" t="s">
        <v>34</v>
      </c>
      <c r="B471" t="s">
        <v>37</v>
      </c>
      <c r="C471" t="str">
        <f t="shared" si="15"/>
        <v>Curtis_et_al_1982_planted</v>
      </c>
      <c r="E471" s="3">
        <v>145</v>
      </c>
      <c r="G471" s="3">
        <v>15</v>
      </c>
      <c r="H471" s="3">
        <v>506</v>
      </c>
      <c r="J471" s="3">
        <v>33.799999999999997</v>
      </c>
      <c r="K471" s="3">
        <v>38.700000000000003</v>
      </c>
      <c r="L471" s="3">
        <v>400</v>
      </c>
      <c r="M471" s="2">
        <f t="shared" si="16"/>
        <v>4.2117422823117678</v>
      </c>
    </row>
    <row r="472" spans="1:13" x14ac:dyDescent="0.3">
      <c r="A472" t="s">
        <v>34</v>
      </c>
      <c r="B472" t="s">
        <v>37</v>
      </c>
      <c r="C472" t="str">
        <f t="shared" si="15"/>
        <v>Curtis_et_al_1982_planted</v>
      </c>
      <c r="E472" s="3">
        <v>145</v>
      </c>
      <c r="G472" s="3">
        <v>20</v>
      </c>
      <c r="H472" s="3">
        <v>1709</v>
      </c>
      <c r="J472" s="3">
        <v>51.9</v>
      </c>
      <c r="K472" s="3">
        <v>86.3</v>
      </c>
      <c r="L472" s="3">
        <v>397</v>
      </c>
      <c r="M472" s="2">
        <f t="shared" si="16"/>
        <v>6.3131549148136656</v>
      </c>
    </row>
    <row r="473" spans="1:13" x14ac:dyDescent="0.3">
      <c r="A473" t="s">
        <v>34</v>
      </c>
      <c r="B473" t="s">
        <v>37</v>
      </c>
      <c r="C473" t="str">
        <f t="shared" si="15"/>
        <v>Curtis_et_al_1982_planted</v>
      </c>
      <c r="E473" s="3">
        <v>145</v>
      </c>
      <c r="G473" s="3">
        <v>25</v>
      </c>
      <c r="H473" s="3">
        <v>3371</v>
      </c>
      <c r="J473" s="3">
        <v>68.8</v>
      </c>
      <c r="K473" s="3">
        <v>130.19999999999999</v>
      </c>
      <c r="L473" s="3">
        <v>378</v>
      </c>
      <c r="M473" s="2">
        <f t="shared" si="16"/>
        <v>7.9468660744668345</v>
      </c>
    </row>
    <row r="474" spans="1:13" x14ac:dyDescent="0.3">
      <c r="A474" t="s">
        <v>34</v>
      </c>
      <c r="B474" t="s">
        <v>37</v>
      </c>
      <c r="C474" t="str">
        <f t="shared" si="15"/>
        <v>Curtis_et_al_1982_planted</v>
      </c>
      <c r="E474" s="3">
        <v>145</v>
      </c>
      <c r="G474" s="3">
        <v>30</v>
      </c>
      <c r="H474" s="3">
        <v>5172</v>
      </c>
      <c r="J474" s="3">
        <v>84.3</v>
      </c>
      <c r="K474" s="3">
        <v>165.1</v>
      </c>
      <c r="L474" s="3">
        <v>334</v>
      </c>
      <c r="M474" s="2">
        <f t="shared" si="16"/>
        <v>9.5199924751248819</v>
      </c>
    </row>
    <row r="475" spans="1:13" x14ac:dyDescent="0.3">
      <c r="A475" t="s">
        <v>34</v>
      </c>
      <c r="B475" t="s">
        <v>37</v>
      </c>
      <c r="C475" t="str">
        <f t="shared" si="15"/>
        <v>Curtis_et_al_1982_planted</v>
      </c>
      <c r="E475" s="3">
        <v>145</v>
      </c>
      <c r="G475" s="3">
        <v>35</v>
      </c>
      <c r="H475" s="3">
        <v>7019</v>
      </c>
      <c r="J475" s="3">
        <v>98.4</v>
      </c>
      <c r="K475" s="3">
        <v>194.1</v>
      </c>
      <c r="L475" s="3">
        <v>296</v>
      </c>
      <c r="M475" s="2">
        <f t="shared" si="16"/>
        <v>10.964863107827505</v>
      </c>
    </row>
    <row r="476" spans="1:13" x14ac:dyDescent="0.3">
      <c r="A476" t="s">
        <v>34</v>
      </c>
      <c r="B476" t="s">
        <v>37</v>
      </c>
      <c r="C476" t="str">
        <f t="shared" si="15"/>
        <v>Curtis_et_al_1982_planted</v>
      </c>
      <c r="E476" s="3">
        <v>145</v>
      </c>
      <c r="G476" s="3">
        <v>40</v>
      </c>
      <c r="H476" s="3">
        <v>8872</v>
      </c>
      <c r="J476" s="3">
        <v>111.1</v>
      </c>
      <c r="K476" s="3">
        <v>218.3</v>
      </c>
      <c r="L476" s="3">
        <v>264</v>
      </c>
      <c r="M476" s="2">
        <f t="shared" si="16"/>
        <v>12.312924211185077</v>
      </c>
    </row>
    <row r="477" spans="1:13" x14ac:dyDescent="0.3">
      <c r="A477" t="s">
        <v>34</v>
      </c>
      <c r="B477" t="s">
        <v>37</v>
      </c>
      <c r="C477" t="str">
        <f t="shared" si="15"/>
        <v>Curtis_et_al_1982_planted</v>
      </c>
      <c r="E477" s="3">
        <v>145</v>
      </c>
      <c r="G477" s="3">
        <v>45</v>
      </c>
      <c r="H477" s="3">
        <v>10687</v>
      </c>
      <c r="J477" s="3">
        <v>122.8</v>
      </c>
      <c r="K477" s="3">
        <v>238.8</v>
      </c>
      <c r="L477" s="3">
        <v>239</v>
      </c>
      <c r="M477" s="2">
        <f t="shared" si="16"/>
        <v>13.534883208713461</v>
      </c>
    </row>
    <row r="478" spans="1:13" x14ac:dyDescent="0.3">
      <c r="A478" t="s">
        <v>34</v>
      </c>
      <c r="B478" t="s">
        <v>37</v>
      </c>
      <c r="C478" t="str">
        <f t="shared" si="15"/>
        <v>Curtis_et_al_1982_planted</v>
      </c>
      <c r="E478" s="3">
        <v>145</v>
      </c>
      <c r="G478" s="3">
        <v>50</v>
      </c>
      <c r="H478" s="3">
        <v>12424</v>
      </c>
      <c r="J478" s="3">
        <v>133.4</v>
      </c>
      <c r="K478" s="3">
        <v>256.5</v>
      </c>
      <c r="L478" s="3">
        <v>218</v>
      </c>
      <c r="M478" s="2">
        <f t="shared" si="16"/>
        <v>14.687630549053619</v>
      </c>
    </row>
    <row r="479" spans="1:13" x14ac:dyDescent="0.3">
      <c r="A479" t="s">
        <v>34</v>
      </c>
      <c r="B479" t="s">
        <v>37</v>
      </c>
      <c r="C479" t="str">
        <f t="shared" si="15"/>
        <v>Curtis_et_al_1982_planted</v>
      </c>
      <c r="E479" s="3">
        <v>145</v>
      </c>
      <c r="G479" s="3">
        <v>55</v>
      </c>
      <c r="H479" s="3">
        <v>14000</v>
      </c>
      <c r="J479" s="3">
        <v>143.1</v>
      </c>
      <c r="K479" s="3">
        <v>270.60000000000002</v>
      </c>
      <c r="L479" s="3">
        <v>198</v>
      </c>
      <c r="M479" s="2">
        <f t="shared" si="16"/>
        <v>15.829514786725467</v>
      </c>
    </row>
    <row r="480" spans="1:13" x14ac:dyDescent="0.3">
      <c r="A480" t="s">
        <v>34</v>
      </c>
      <c r="B480" t="s">
        <v>37</v>
      </c>
      <c r="C480" t="str">
        <f t="shared" si="15"/>
        <v>Curtis_et_al_1982_planted</v>
      </c>
      <c r="E480" s="3">
        <v>145</v>
      </c>
      <c r="G480" s="3">
        <v>60</v>
      </c>
      <c r="H480" s="3">
        <v>15426</v>
      </c>
      <c r="J480" s="3">
        <v>152.1</v>
      </c>
      <c r="K480" s="3">
        <v>282.10000000000002</v>
      </c>
      <c r="L480" s="3">
        <v>181</v>
      </c>
      <c r="M480" s="2">
        <f t="shared" si="16"/>
        <v>16.904353169791179</v>
      </c>
    </row>
    <row r="481" spans="1:13" x14ac:dyDescent="0.3">
      <c r="A481" t="s">
        <v>34</v>
      </c>
      <c r="B481" t="s">
        <v>37</v>
      </c>
      <c r="C481" t="str">
        <f t="shared" si="15"/>
        <v>Curtis_et_al_1982_planted</v>
      </c>
      <c r="E481" s="3">
        <v>145</v>
      </c>
      <c r="G481" s="3">
        <v>65</v>
      </c>
      <c r="H481" s="3">
        <v>16734</v>
      </c>
      <c r="J481" s="3">
        <v>160.4</v>
      </c>
      <c r="K481" s="3">
        <v>291.89999999999998</v>
      </c>
      <c r="L481" s="3">
        <v>167</v>
      </c>
      <c r="M481" s="2">
        <f t="shared" si="16"/>
        <v>17.901734581063824</v>
      </c>
    </row>
    <row r="482" spans="1:13" x14ac:dyDescent="0.3">
      <c r="A482" t="s">
        <v>34</v>
      </c>
      <c r="B482" t="s">
        <v>37</v>
      </c>
      <c r="C482" t="str">
        <f t="shared" si="15"/>
        <v>Curtis_et_al_1982_planted</v>
      </c>
      <c r="E482" s="3">
        <v>145</v>
      </c>
      <c r="G482" s="3">
        <v>70</v>
      </c>
      <c r="H482" s="3">
        <v>17946</v>
      </c>
      <c r="J482" s="3">
        <v>168.1</v>
      </c>
      <c r="K482" s="3">
        <v>300.60000000000002</v>
      </c>
      <c r="L482" s="3">
        <v>155</v>
      </c>
      <c r="M482" s="2">
        <f t="shared" si="16"/>
        <v>18.856667400437491</v>
      </c>
    </row>
    <row r="483" spans="1:13" x14ac:dyDescent="0.3">
      <c r="A483" t="s">
        <v>34</v>
      </c>
      <c r="B483" t="s">
        <v>37</v>
      </c>
      <c r="C483" t="str">
        <f t="shared" si="15"/>
        <v>Curtis_et_al_1982_planted</v>
      </c>
      <c r="E483" s="3">
        <v>145</v>
      </c>
      <c r="G483" s="3">
        <v>75</v>
      </c>
      <c r="H483" s="3">
        <v>19074</v>
      </c>
      <c r="J483" s="3">
        <v>175.2</v>
      </c>
      <c r="K483" s="3">
        <v>308.60000000000002</v>
      </c>
      <c r="L483" s="3">
        <v>144</v>
      </c>
      <c r="M483" s="2">
        <f t="shared" si="16"/>
        <v>19.822253080828702</v>
      </c>
    </row>
    <row r="484" spans="1:13" x14ac:dyDescent="0.3">
      <c r="A484" t="s">
        <v>34</v>
      </c>
      <c r="B484" t="s">
        <v>37</v>
      </c>
      <c r="C484" t="str">
        <f t="shared" si="15"/>
        <v>Curtis_et_al_1982_planted</v>
      </c>
      <c r="E484" s="3">
        <v>145</v>
      </c>
      <c r="G484" s="3">
        <v>80</v>
      </c>
      <c r="H484" s="3">
        <v>20128</v>
      </c>
      <c r="J484" s="3">
        <v>181.9</v>
      </c>
      <c r="K484" s="3">
        <v>315.89999999999998</v>
      </c>
      <c r="L484" s="3">
        <v>135</v>
      </c>
      <c r="M484" s="2">
        <f t="shared" si="16"/>
        <v>20.713058444124169</v>
      </c>
    </row>
    <row r="485" spans="1:13" x14ac:dyDescent="0.3">
      <c r="A485" t="s">
        <v>34</v>
      </c>
      <c r="B485" t="s">
        <v>37</v>
      </c>
      <c r="C485" t="str">
        <f t="shared" si="15"/>
        <v>Curtis_et_al_1982_planted</v>
      </c>
      <c r="E485" s="3">
        <v>145</v>
      </c>
      <c r="G485" s="3">
        <v>85</v>
      </c>
      <c r="H485" s="3">
        <v>21112</v>
      </c>
      <c r="J485" s="3">
        <v>188.1</v>
      </c>
      <c r="K485" s="3">
        <v>322.8</v>
      </c>
      <c r="L485" s="3">
        <v>127</v>
      </c>
      <c r="M485" s="2">
        <f t="shared" si="16"/>
        <v>21.58744302841793</v>
      </c>
    </row>
    <row r="486" spans="1:13" x14ac:dyDescent="0.3">
      <c r="A486" t="s">
        <v>34</v>
      </c>
      <c r="B486" t="s">
        <v>37</v>
      </c>
      <c r="C486" t="str">
        <f t="shared" si="15"/>
        <v>Curtis_et_al_1982_planted</v>
      </c>
      <c r="E486" s="3">
        <v>145</v>
      </c>
      <c r="G486" s="3">
        <v>90</v>
      </c>
      <c r="H486" s="3">
        <v>22034</v>
      </c>
      <c r="J486" s="3">
        <v>194</v>
      </c>
      <c r="K486" s="3">
        <v>329.2</v>
      </c>
      <c r="L486" s="3">
        <v>120</v>
      </c>
      <c r="M486" s="2">
        <f t="shared" si="16"/>
        <v>22.427227686036431</v>
      </c>
    </row>
    <row r="487" spans="1:13" x14ac:dyDescent="0.3">
      <c r="A487" t="s">
        <v>34</v>
      </c>
      <c r="B487" t="s">
        <v>37</v>
      </c>
      <c r="C487" t="str">
        <f t="shared" si="15"/>
        <v>Curtis_et_al_1982_planted</v>
      </c>
      <c r="E487" s="3">
        <v>145</v>
      </c>
      <c r="G487" s="3">
        <v>95</v>
      </c>
      <c r="H487" s="3">
        <v>22896</v>
      </c>
      <c r="J487" s="3">
        <v>199.5</v>
      </c>
      <c r="K487" s="3">
        <v>335.3</v>
      </c>
      <c r="L487" s="3">
        <v>114</v>
      </c>
      <c r="M487" s="2">
        <f t="shared" si="16"/>
        <v>23.22205519258814</v>
      </c>
    </row>
    <row r="488" spans="1:13" x14ac:dyDescent="0.3">
      <c r="A488" t="s">
        <v>34</v>
      </c>
      <c r="B488" t="s">
        <v>37</v>
      </c>
      <c r="C488" t="str">
        <f t="shared" si="15"/>
        <v>Curtis_et_al_1982_planted</v>
      </c>
      <c r="E488" s="3">
        <v>145</v>
      </c>
      <c r="G488" s="3">
        <v>100</v>
      </c>
      <c r="H488" s="3">
        <v>23704</v>
      </c>
      <c r="J488" s="3">
        <v>204.7</v>
      </c>
      <c r="K488" s="3">
        <v>341.1</v>
      </c>
      <c r="L488" s="3">
        <v>109</v>
      </c>
      <c r="M488" s="2">
        <f t="shared" si="16"/>
        <v>23.953220512936181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1"/>
  <sheetViews>
    <sheetView zoomScale="85" zoomScaleNormal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M2" sqref="M2"/>
    </sheetView>
  </sheetViews>
  <sheetFormatPr defaultRowHeight="14.4" x14ac:dyDescent="0.3"/>
  <cols>
    <col min="1" max="1" width="24.109375" bestFit="1" customWidth="1"/>
    <col min="2" max="2" width="24.109375" customWidth="1"/>
    <col min="3" max="3" width="14.77734375" bestFit="1" customWidth="1"/>
    <col min="4" max="4" width="4.21875" bestFit="1" customWidth="1"/>
    <col min="5" max="5" width="5.44140625" bestFit="1" customWidth="1"/>
    <col min="6" max="6" width="8.33203125" bestFit="1" customWidth="1"/>
    <col min="7" max="7" width="4.44140625" bestFit="1" customWidth="1"/>
    <col min="8" max="8" width="5.109375" bestFit="1" customWidth="1"/>
    <col min="9" max="9" width="17.109375" style="3" bestFit="1" customWidth="1"/>
    <col min="10" max="10" width="10.33203125" style="3" bestFit="1" customWidth="1"/>
    <col min="11" max="11" width="5.5546875" style="2" bestFit="1" customWidth="1"/>
    <col min="12" max="12" width="7.44140625" style="2" bestFit="1" customWidth="1"/>
    <col min="13" max="13" width="7.33203125" bestFit="1" customWidth="1"/>
    <col min="14" max="14" width="5.5546875" style="3" bestFit="1" customWidth="1"/>
  </cols>
  <sheetData>
    <row r="1" spans="1:14" x14ac:dyDescent="0.3">
      <c r="A1" t="s">
        <v>0</v>
      </c>
      <c r="B1" t="s">
        <v>45</v>
      </c>
      <c r="C1" t="s">
        <v>17</v>
      </c>
      <c r="D1" t="s">
        <v>14</v>
      </c>
      <c r="E1" t="s">
        <v>24</v>
      </c>
      <c r="F1" t="s">
        <v>15</v>
      </c>
      <c r="G1" t="s">
        <v>23</v>
      </c>
      <c r="H1" t="s">
        <v>16</v>
      </c>
      <c r="I1" s="3" t="s">
        <v>46</v>
      </c>
      <c r="J1" s="3" t="s">
        <v>47</v>
      </c>
      <c r="K1" s="2" t="s">
        <v>39</v>
      </c>
      <c r="L1" s="2" t="s">
        <v>38</v>
      </c>
      <c r="M1" t="s">
        <v>48</v>
      </c>
      <c r="N1" s="3" t="s">
        <v>40</v>
      </c>
    </row>
    <row r="2" spans="1:14" x14ac:dyDescent="0.3">
      <c r="A2" t="s">
        <v>32</v>
      </c>
      <c r="B2" t="str">
        <f>C2&amp;"_"&amp;D2</f>
        <v>Mount Hood_1</v>
      </c>
      <c r="C2" t="s">
        <v>25</v>
      </c>
      <c r="D2">
        <v>1</v>
      </c>
      <c r="E2">
        <v>134</v>
      </c>
      <c r="F2">
        <v>3</v>
      </c>
      <c r="H2" s="1">
        <v>45</v>
      </c>
      <c r="I2" s="3">
        <v>13267</v>
      </c>
      <c r="J2" s="3">
        <v>5798</v>
      </c>
      <c r="K2" s="2">
        <f>172.2+3.4</f>
        <v>175.6</v>
      </c>
      <c r="L2" s="2">
        <f>IF(NOT(OR(ISBLANK(N2),ISBLANK(K2))),SQRT((K2/N2)/0.005454154),"")</f>
        <v>9.4047632173337945</v>
      </c>
      <c r="N2" s="3">
        <f>344+20</f>
        <v>364</v>
      </c>
    </row>
    <row r="3" spans="1:14" x14ac:dyDescent="0.3">
      <c r="A3" t="s">
        <v>32</v>
      </c>
      <c r="B3" t="str">
        <f t="shared" ref="B3:B66" si="0">C3&amp;"_"&amp;D3</f>
        <v>Mount Hood_1</v>
      </c>
      <c r="C3" t="s">
        <v>25</v>
      </c>
      <c r="D3">
        <v>1</v>
      </c>
      <c r="E3">
        <v>134</v>
      </c>
      <c r="F3">
        <v>3</v>
      </c>
      <c r="H3" s="1">
        <v>50</v>
      </c>
      <c r="I3" s="3">
        <v>19271</v>
      </c>
      <c r="J3" s="3">
        <v>6659</v>
      </c>
      <c r="K3" s="2">
        <f>183.9+4.2</f>
        <v>188.1</v>
      </c>
      <c r="L3" s="2">
        <f t="shared" ref="L3:L66" si="1">IF(NOT(OR(ISBLANK(N3),ISBLANK(K3))),SQRT((K3/N3)/0.005454154),"")</f>
        <v>10.285416898226618</v>
      </c>
      <c r="N3" s="3">
        <f>306+20</f>
        <v>326</v>
      </c>
    </row>
    <row r="4" spans="1:14" x14ac:dyDescent="0.3">
      <c r="A4" t="s">
        <v>32</v>
      </c>
      <c r="B4" t="str">
        <f t="shared" si="0"/>
        <v>Mount Hood_1</v>
      </c>
      <c r="C4" t="s">
        <v>25</v>
      </c>
      <c r="D4">
        <v>1</v>
      </c>
      <c r="E4">
        <v>134</v>
      </c>
      <c r="F4">
        <v>3</v>
      </c>
      <c r="H4" s="1">
        <v>55</v>
      </c>
      <c r="I4" s="3">
        <v>23414</v>
      </c>
      <c r="J4" s="3">
        <v>6968</v>
      </c>
      <c r="K4" s="2">
        <f>185.1+4.6</f>
        <v>189.7</v>
      </c>
      <c r="L4" s="2">
        <f t="shared" si="1"/>
        <v>11.370873480444452</v>
      </c>
      <c r="N4" s="3">
        <f>249+20</f>
        <v>269</v>
      </c>
    </row>
    <row r="5" spans="1:14" x14ac:dyDescent="0.3">
      <c r="A5" t="s">
        <v>32</v>
      </c>
      <c r="B5" t="str">
        <f t="shared" si="0"/>
        <v>Mount Hood_1</v>
      </c>
      <c r="C5" t="s">
        <v>25</v>
      </c>
      <c r="D5">
        <v>1</v>
      </c>
      <c r="E5">
        <v>134</v>
      </c>
      <c r="F5">
        <v>3</v>
      </c>
      <c r="H5" s="1">
        <v>60</v>
      </c>
      <c r="I5" s="3">
        <v>28136</v>
      </c>
      <c r="J5" s="3">
        <v>7635</v>
      </c>
      <c r="K5" s="2">
        <f>193.6+4.6</f>
        <v>198.2</v>
      </c>
      <c r="L5" s="2">
        <f t="shared" si="1"/>
        <v>12.569679636067463</v>
      </c>
      <c r="N5" s="3">
        <f>211+19</f>
        <v>230</v>
      </c>
    </row>
    <row r="6" spans="1:14" x14ac:dyDescent="0.3">
      <c r="A6" t="s">
        <v>32</v>
      </c>
      <c r="B6" t="str">
        <f t="shared" si="0"/>
        <v>Mount Hood_1</v>
      </c>
      <c r="C6" t="s">
        <v>25</v>
      </c>
      <c r="D6">
        <v>1</v>
      </c>
      <c r="E6">
        <v>134</v>
      </c>
      <c r="F6">
        <v>3</v>
      </c>
      <c r="H6" s="1">
        <v>67</v>
      </c>
      <c r="I6" s="3">
        <v>34028</v>
      </c>
      <c r="J6" s="3">
        <v>8417</v>
      </c>
      <c r="K6" s="2">
        <f>205.7+5</f>
        <v>210.7</v>
      </c>
      <c r="L6" s="2">
        <f t="shared" si="1"/>
        <v>13.694146180281166</v>
      </c>
      <c r="N6" s="3">
        <f>187+19</f>
        <v>206</v>
      </c>
    </row>
    <row r="7" spans="1:14" x14ac:dyDescent="0.3">
      <c r="A7" t="s">
        <v>32</v>
      </c>
      <c r="B7" t="str">
        <f t="shared" si="0"/>
        <v>Mount Hood_2</v>
      </c>
      <c r="C7" t="s">
        <v>25</v>
      </c>
      <c r="D7">
        <v>2</v>
      </c>
      <c r="E7">
        <v>129</v>
      </c>
      <c r="F7">
        <v>3</v>
      </c>
      <c r="H7" s="1">
        <v>45</v>
      </c>
      <c r="I7" s="3">
        <v>9755</v>
      </c>
      <c r="J7" s="3">
        <v>7144</v>
      </c>
      <c r="K7" s="2">
        <f>220.8+6</f>
        <v>226.8</v>
      </c>
      <c r="L7" s="2">
        <f t="shared" si="1"/>
        <v>9.1840527046333591</v>
      </c>
      <c r="N7" s="3">
        <f>464+29</f>
        <v>493</v>
      </c>
    </row>
    <row r="8" spans="1:14" x14ac:dyDescent="0.3">
      <c r="A8" t="s">
        <v>32</v>
      </c>
      <c r="B8" t="str">
        <f t="shared" si="0"/>
        <v>Mount Hood_2</v>
      </c>
      <c r="C8" t="s">
        <v>25</v>
      </c>
      <c r="D8">
        <v>2</v>
      </c>
      <c r="E8">
        <v>129</v>
      </c>
      <c r="F8">
        <v>3</v>
      </c>
      <c r="H8" s="1">
        <v>50</v>
      </c>
      <c r="I8" s="3">
        <v>16866</v>
      </c>
      <c r="J8" s="3">
        <v>8165</v>
      </c>
      <c r="K8" s="2">
        <f>232.8+6.4</f>
        <v>239.20000000000002</v>
      </c>
      <c r="L8" s="2">
        <f t="shared" si="1"/>
        <v>9.9498154714526574</v>
      </c>
      <c r="N8" s="3">
        <f>416+27</f>
        <v>443</v>
      </c>
    </row>
    <row r="9" spans="1:14" x14ac:dyDescent="0.3">
      <c r="A9" t="s">
        <v>32</v>
      </c>
      <c r="B9" t="str">
        <f t="shared" si="0"/>
        <v>Mount Hood_2</v>
      </c>
      <c r="C9" t="s">
        <v>25</v>
      </c>
      <c r="D9">
        <v>2</v>
      </c>
      <c r="E9">
        <v>129</v>
      </c>
      <c r="F9">
        <v>3</v>
      </c>
      <c r="H9" s="1">
        <v>55</v>
      </c>
      <c r="I9" s="3">
        <v>22673</v>
      </c>
      <c r="J9" s="3">
        <v>8811</v>
      </c>
      <c r="K9" s="2">
        <f>242.2+4.3</f>
        <v>246.5</v>
      </c>
      <c r="L9" s="2">
        <f t="shared" si="1"/>
        <v>10.77878881486563</v>
      </c>
      <c r="N9" s="3">
        <f>368+21</f>
        <v>389</v>
      </c>
    </row>
    <row r="10" spans="1:14" x14ac:dyDescent="0.3">
      <c r="A10" t="s">
        <v>32</v>
      </c>
      <c r="B10" t="str">
        <f t="shared" si="0"/>
        <v>Mount Hood_2</v>
      </c>
      <c r="C10" t="s">
        <v>25</v>
      </c>
      <c r="D10">
        <v>2</v>
      </c>
      <c r="E10">
        <v>129</v>
      </c>
      <c r="F10">
        <v>3</v>
      </c>
      <c r="H10" s="1">
        <v>60</v>
      </c>
      <c r="I10" s="3">
        <v>30232</v>
      </c>
      <c r="J10" s="3">
        <v>9657</v>
      </c>
      <c r="K10" s="2">
        <f>248.9+6.4</f>
        <v>255.3</v>
      </c>
      <c r="L10" s="2">
        <f t="shared" si="1"/>
        <v>11.614405156818698</v>
      </c>
      <c r="N10" s="3">
        <f>325+22</f>
        <v>347</v>
      </c>
    </row>
    <row r="11" spans="1:14" x14ac:dyDescent="0.3">
      <c r="A11" t="s">
        <v>32</v>
      </c>
      <c r="B11" t="str">
        <f t="shared" si="0"/>
        <v>Mount Hood_2</v>
      </c>
      <c r="C11" t="s">
        <v>25</v>
      </c>
      <c r="D11">
        <v>2</v>
      </c>
      <c r="E11">
        <v>129</v>
      </c>
      <c r="F11">
        <v>3</v>
      </c>
      <c r="H11" s="1">
        <v>67</v>
      </c>
      <c r="I11" s="3">
        <v>35894</v>
      </c>
      <c r="J11" s="3">
        <v>10607</v>
      </c>
      <c r="K11" s="2">
        <f>263.3+6.1</f>
        <v>269.40000000000003</v>
      </c>
      <c r="L11" s="2">
        <f t="shared" si="1"/>
        <v>12.32802246417185</v>
      </c>
      <c r="N11" s="3">
        <f>305+20</f>
        <v>325</v>
      </c>
    </row>
    <row r="12" spans="1:14" x14ac:dyDescent="0.3">
      <c r="A12" t="s">
        <v>32</v>
      </c>
      <c r="B12" t="str">
        <f t="shared" si="0"/>
        <v>Mount Hood_3</v>
      </c>
      <c r="C12" t="s">
        <v>25</v>
      </c>
      <c r="D12">
        <v>3</v>
      </c>
      <c r="E12">
        <v>139</v>
      </c>
      <c r="F12">
        <v>3</v>
      </c>
      <c r="H12" s="1">
        <v>45</v>
      </c>
      <c r="I12" s="3">
        <v>11301</v>
      </c>
      <c r="J12" s="3">
        <v>6709</v>
      </c>
      <c r="K12" s="2">
        <f>200.3+14.6</f>
        <v>214.9</v>
      </c>
      <c r="L12" s="2">
        <f t="shared" si="1"/>
        <v>9.050695867312287</v>
      </c>
      <c r="N12" s="3">
        <f>417+64</f>
        <v>481</v>
      </c>
    </row>
    <row r="13" spans="1:14" x14ac:dyDescent="0.3">
      <c r="A13" t="s">
        <v>32</v>
      </c>
      <c r="B13" t="str">
        <f t="shared" si="0"/>
        <v>Mount Hood_3</v>
      </c>
      <c r="C13" t="s">
        <v>25</v>
      </c>
      <c r="D13">
        <v>3</v>
      </c>
      <c r="E13">
        <v>139</v>
      </c>
      <c r="F13">
        <v>3</v>
      </c>
      <c r="H13" s="1">
        <v>50</v>
      </c>
      <c r="I13" s="3">
        <v>17142</v>
      </c>
      <c r="J13" s="3">
        <v>7449</v>
      </c>
      <c r="K13" s="2">
        <f>210.2+15.4</f>
        <v>225.6</v>
      </c>
      <c r="L13" s="2">
        <f t="shared" si="1"/>
        <v>9.7067443010349876</v>
      </c>
      <c r="N13" s="3">
        <f>383+56</f>
        <v>439</v>
      </c>
    </row>
    <row r="14" spans="1:14" x14ac:dyDescent="0.3">
      <c r="A14" t="s">
        <v>32</v>
      </c>
      <c r="B14" t="str">
        <f t="shared" si="0"/>
        <v>Mount Hood_3</v>
      </c>
      <c r="C14" t="s">
        <v>25</v>
      </c>
      <c r="D14">
        <v>3</v>
      </c>
      <c r="E14">
        <v>139</v>
      </c>
      <c r="F14">
        <v>3</v>
      </c>
      <c r="H14" s="1">
        <v>55</v>
      </c>
      <c r="I14" s="3">
        <v>23390</v>
      </c>
      <c r="J14" s="3">
        <v>8261</v>
      </c>
      <c r="K14" s="2">
        <f>218.1+13.7</f>
        <v>231.79999999999998</v>
      </c>
      <c r="L14" s="2">
        <f t="shared" si="1"/>
        <v>10.74655110621323</v>
      </c>
      <c r="N14" s="3">
        <f>325+43</f>
        <v>368</v>
      </c>
    </row>
    <row r="15" spans="1:14" x14ac:dyDescent="0.3">
      <c r="A15" t="s">
        <v>32</v>
      </c>
      <c r="B15" t="str">
        <f t="shared" si="0"/>
        <v>Mount Hood_3</v>
      </c>
      <c r="C15" t="s">
        <v>25</v>
      </c>
      <c r="D15">
        <v>3</v>
      </c>
      <c r="E15">
        <v>139</v>
      </c>
      <c r="F15">
        <v>3</v>
      </c>
      <c r="H15" s="1">
        <v>60</v>
      </c>
      <c r="I15" s="3">
        <v>31347</v>
      </c>
      <c r="J15" s="3">
        <v>9355</v>
      </c>
      <c r="K15" s="2">
        <f>230.3+11.8</f>
        <v>242.10000000000002</v>
      </c>
      <c r="L15" s="2">
        <f t="shared" si="1"/>
        <v>11.633135180264821</v>
      </c>
      <c r="N15" s="3">
        <f>295+33</f>
        <v>328</v>
      </c>
    </row>
    <row r="16" spans="1:14" x14ac:dyDescent="0.3">
      <c r="A16" t="s">
        <v>32</v>
      </c>
      <c r="B16" t="str">
        <f t="shared" si="0"/>
        <v>Mount Hood_3</v>
      </c>
      <c r="C16" t="s">
        <v>25</v>
      </c>
      <c r="D16">
        <v>3</v>
      </c>
      <c r="E16">
        <v>139</v>
      </c>
      <c r="F16">
        <v>3</v>
      </c>
      <c r="H16" s="1">
        <v>67</v>
      </c>
      <c r="I16" s="3">
        <v>38913</v>
      </c>
      <c r="J16" s="3">
        <v>10358</v>
      </c>
      <c r="K16" s="2">
        <f>247.5+9.1</f>
        <v>256.60000000000002</v>
      </c>
      <c r="L16" s="2">
        <f t="shared" si="1"/>
        <v>12.460725060732488</v>
      </c>
      <c r="N16" s="3">
        <f>281+22</f>
        <v>303</v>
      </c>
    </row>
    <row r="17" spans="1:14" x14ac:dyDescent="0.3">
      <c r="A17" t="s">
        <v>32</v>
      </c>
      <c r="B17" t="str">
        <f t="shared" si="0"/>
        <v>Olympic_1</v>
      </c>
      <c r="C17" t="s">
        <v>26</v>
      </c>
      <c r="D17">
        <v>1</v>
      </c>
      <c r="E17">
        <v>130</v>
      </c>
      <c r="F17">
        <v>3</v>
      </c>
      <c r="H17">
        <v>51</v>
      </c>
      <c r="I17" s="3">
        <v>14460</v>
      </c>
      <c r="J17" s="3">
        <v>6265</v>
      </c>
      <c r="K17" s="2">
        <f>185.7+5.32</f>
        <v>191.01999999999998</v>
      </c>
      <c r="L17" s="2">
        <f t="shared" si="1"/>
        <v>8.8814574029146716</v>
      </c>
      <c r="M17">
        <v>92</v>
      </c>
      <c r="N17" s="3">
        <f>411+33</f>
        <v>444</v>
      </c>
    </row>
    <row r="18" spans="1:14" x14ac:dyDescent="0.3">
      <c r="A18" t="s">
        <v>32</v>
      </c>
      <c r="B18" t="str">
        <f t="shared" si="0"/>
        <v>Olympic_1</v>
      </c>
      <c r="C18" t="s">
        <v>26</v>
      </c>
      <c r="D18">
        <v>1</v>
      </c>
      <c r="E18">
        <v>130</v>
      </c>
      <c r="F18">
        <v>3</v>
      </c>
      <c r="H18">
        <v>56</v>
      </c>
      <c r="I18" s="3">
        <v>18640</v>
      </c>
      <c r="J18" s="3">
        <v>6945</v>
      </c>
      <c r="K18" s="2">
        <f>198.2+4.99</f>
        <v>203.19</v>
      </c>
      <c r="L18" s="2">
        <f t="shared" si="1"/>
        <v>9.6506701331901361</v>
      </c>
      <c r="M18">
        <v>99</v>
      </c>
      <c r="N18" s="3">
        <f>377+23</f>
        <v>400</v>
      </c>
    </row>
    <row r="19" spans="1:14" x14ac:dyDescent="0.3">
      <c r="A19" t="s">
        <v>32</v>
      </c>
      <c r="B19" t="str">
        <f t="shared" si="0"/>
        <v>Olympic_1</v>
      </c>
      <c r="C19" t="s">
        <v>26</v>
      </c>
      <c r="D19">
        <v>1</v>
      </c>
      <c r="E19">
        <v>130</v>
      </c>
      <c r="F19">
        <v>3</v>
      </c>
      <c r="H19">
        <v>61</v>
      </c>
      <c r="I19" s="3">
        <v>23260</v>
      </c>
      <c r="J19" s="3">
        <v>7725</v>
      </c>
      <c r="K19" s="2">
        <f>210.2+4.48</f>
        <v>214.67999999999998</v>
      </c>
      <c r="L19" s="2">
        <f t="shared" si="1"/>
        <v>10.384501728595993</v>
      </c>
      <c r="M19">
        <v>102</v>
      </c>
      <c r="N19" s="3">
        <f>347+18</f>
        <v>365</v>
      </c>
    </row>
    <row r="20" spans="1:14" x14ac:dyDescent="0.3">
      <c r="A20" t="s">
        <v>32</v>
      </c>
      <c r="B20" t="str">
        <f t="shared" si="0"/>
        <v>Olympic_1</v>
      </c>
      <c r="C20" t="s">
        <v>26</v>
      </c>
      <c r="D20">
        <v>1</v>
      </c>
      <c r="E20">
        <v>130</v>
      </c>
      <c r="F20">
        <v>3</v>
      </c>
      <c r="H20">
        <v>66</v>
      </c>
      <c r="I20" s="3">
        <v>25976</v>
      </c>
      <c r="J20" s="3">
        <v>8194</v>
      </c>
      <c r="K20" s="2">
        <f>221.4+3.42</f>
        <v>224.82</v>
      </c>
      <c r="L20" s="2">
        <f t="shared" si="1"/>
        <v>11.385188190040878</v>
      </c>
      <c r="M20">
        <v>103</v>
      </c>
      <c r="N20" s="3">
        <f>307+11</f>
        <v>318</v>
      </c>
    </row>
    <row r="21" spans="1:14" x14ac:dyDescent="0.3">
      <c r="A21" t="s">
        <v>32</v>
      </c>
      <c r="B21" t="str">
        <f t="shared" si="0"/>
        <v>Olympic_1</v>
      </c>
      <c r="C21" t="s">
        <v>26</v>
      </c>
      <c r="D21">
        <v>1</v>
      </c>
      <c r="E21">
        <v>130</v>
      </c>
      <c r="F21">
        <v>3</v>
      </c>
      <c r="H21">
        <v>71</v>
      </c>
      <c r="I21" s="3">
        <v>30382</v>
      </c>
      <c r="J21" s="3">
        <v>8726</v>
      </c>
      <c r="K21" s="2">
        <f>228.1+2.3</f>
        <v>230.4</v>
      </c>
      <c r="L21" s="2">
        <f t="shared" si="1"/>
        <v>12.048446256158035</v>
      </c>
      <c r="M21">
        <v>106</v>
      </c>
      <c r="N21" s="3">
        <f>282+9</f>
        <v>291</v>
      </c>
    </row>
    <row r="22" spans="1:14" x14ac:dyDescent="0.3">
      <c r="A22" t="s">
        <v>32</v>
      </c>
      <c r="B22" t="str">
        <f t="shared" si="0"/>
        <v>Olympic_1</v>
      </c>
      <c r="C22" t="s">
        <v>26</v>
      </c>
      <c r="D22">
        <v>1</v>
      </c>
      <c r="E22">
        <v>130</v>
      </c>
      <c r="F22">
        <v>3</v>
      </c>
      <c r="H22" s="1">
        <v>81</v>
      </c>
      <c r="I22" s="3">
        <v>42049</v>
      </c>
      <c r="J22" s="3">
        <v>10544</v>
      </c>
      <c r="K22" s="2">
        <f>257.4+1.64</f>
        <v>259.03999999999996</v>
      </c>
      <c r="L22" s="2">
        <f t="shared" si="1"/>
        <v>13.070654037640216</v>
      </c>
      <c r="M22" s="1">
        <v>118</v>
      </c>
      <c r="N22" s="3">
        <f>273+5</f>
        <v>278</v>
      </c>
    </row>
    <row r="23" spans="1:14" x14ac:dyDescent="0.3">
      <c r="A23" t="s">
        <v>32</v>
      </c>
      <c r="B23" t="str">
        <f t="shared" si="0"/>
        <v>Olympic_2</v>
      </c>
      <c r="C23" t="s">
        <v>26</v>
      </c>
      <c r="D23">
        <v>2</v>
      </c>
      <c r="E23">
        <v>128</v>
      </c>
      <c r="F23">
        <v>3</v>
      </c>
      <c r="H23">
        <v>51</v>
      </c>
      <c r="I23" s="3">
        <v>10590</v>
      </c>
      <c r="J23" s="3">
        <v>5925</v>
      </c>
      <c r="K23" s="2">
        <f>176.3+1.71</f>
        <v>178.01000000000002</v>
      </c>
      <c r="L23" s="2">
        <f t="shared" si="1"/>
        <v>8.9992429998557508</v>
      </c>
      <c r="M23">
        <v>92</v>
      </c>
      <c r="N23" s="3">
        <f>389+14</f>
        <v>403</v>
      </c>
    </row>
    <row r="24" spans="1:14" x14ac:dyDescent="0.3">
      <c r="A24" t="s">
        <v>32</v>
      </c>
      <c r="B24" t="str">
        <f t="shared" si="0"/>
        <v>Olympic_2</v>
      </c>
      <c r="C24" t="s">
        <v>26</v>
      </c>
      <c r="D24">
        <v>2</v>
      </c>
      <c r="E24">
        <v>128</v>
      </c>
      <c r="F24">
        <v>3</v>
      </c>
      <c r="H24">
        <v>56</v>
      </c>
      <c r="I24" s="3">
        <v>14370</v>
      </c>
      <c r="J24" s="3">
        <v>6585</v>
      </c>
      <c r="K24" s="2">
        <f>181.1+1.17</f>
        <v>182.26999999999998</v>
      </c>
      <c r="L24" s="2">
        <f t="shared" si="1"/>
        <v>9.6751964210667989</v>
      </c>
      <c r="M24">
        <v>100</v>
      </c>
      <c r="N24" s="3">
        <f>349+8</f>
        <v>357</v>
      </c>
    </row>
    <row r="25" spans="1:14" x14ac:dyDescent="0.3">
      <c r="A25" t="s">
        <v>32</v>
      </c>
      <c r="B25" t="str">
        <f t="shared" si="0"/>
        <v>Olympic_2</v>
      </c>
      <c r="C25" t="s">
        <v>26</v>
      </c>
      <c r="D25">
        <v>2</v>
      </c>
      <c r="E25">
        <v>128</v>
      </c>
      <c r="F25">
        <v>3</v>
      </c>
      <c r="H25">
        <v>61</v>
      </c>
      <c r="I25" s="3">
        <v>19180</v>
      </c>
      <c r="J25" s="3">
        <v>7325</v>
      </c>
      <c r="K25" s="2">
        <f>193.3+1</f>
        <v>194.3</v>
      </c>
      <c r="L25" s="2">
        <f t="shared" si="1"/>
        <v>10.221049997198708</v>
      </c>
      <c r="M25">
        <v>107</v>
      </c>
      <c r="N25" s="3">
        <f>334+7</f>
        <v>341</v>
      </c>
    </row>
    <row r="26" spans="1:14" x14ac:dyDescent="0.3">
      <c r="A26" t="s">
        <v>32</v>
      </c>
      <c r="B26" t="str">
        <f t="shared" si="0"/>
        <v>Olympic_2</v>
      </c>
      <c r="C26" t="s">
        <v>26</v>
      </c>
      <c r="D26">
        <v>2</v>
      </c>
      <c r="E26">
        <v>128</v>
      </c>
      <c r="F26">
        <v>3</v>
      </c>
      <c r="H26">
        <v>66</v>
      </c>
      <c r="I26" s="3">
        <v>22601</v>
      </c>
      <c r="J26" s="3">
        <v>7710</v>
      </c>
      <c r="K26" s="2">
        <f>198.3+0.43</f>
        <v>198.73000000000002</v>
      </c>
      <c r="L26" s="2">
        <f t="shared" si="1"/>
        <v>11.039068391660228</v>
      </c>
      <c r="M26">
        <v>110</v>
      </c>
      <c r="N26" s="3">
        <f>295+4</f>
        <v>299</v>
      </c>
    </row>
    <row r="27" spans="1:14" x14ac:dyDescent="0.3">
      <c r="A27" t="s">
        <v>32</v>
      </c>
      <c r="B27" t="str">
        <f t="shared" si="0"/>
        <v>Olympic_2</v>
      </c>
      <c r="C27" t="s">
        <v>26</v>
      </c>
      <c r="D27">
        <v>2</v>
      </c>
      <c r="E27">
        <v>128</v>
      </c>
      <c r="F27">
        <v>3</v>
      </c>
      <c r="H27">
        <v>71</v>
      </c>
      <c r="I27" s="3">
        <v>26521</v>
      </c>
      <c r="J27" s="3">
        <v>8142</v>
      </c>
      <c r="K27" s="2">
        <f>205.8+0.81</f>
        <v>206.61</v>
      </c>
      <c r="L27" s="2">
        <f t="shared" si="1"/>
        <v>11.652252018062134</v>
      </c>
      <c r="M27">
        <v>111</v>
      </c>
      <c r="N27" s="3">
        <f>274+5</f>
        <v>279</v>
      </c>
    </row>
    <row r="28" spans="1:14" x14ac:dyDescent="0.3">
      <c r="A28" t="s">
        <v>32</v>
      </c>
      <c r="B28" t="str">
        <f t="shared" si="0"/>
        <v>Olympic_2</v>
      </c>
      <c r="C28" t="s">
        <v>26</v>
      </c>
      <c r="D28">
        <v>2</v>
      </c>
      <c r="E28">
        <v>128</v>
      </c>
      <c r="F28">
        <v>3</v>
      </c>
      <c r="H28" s="1">
        <v>81</v>
      </c>
      <c r="I28" s="3">
        <v>36289</v>
      </c>
      <c r="J28" s="3">
        <v>9292</v>
      </c>
      <c r="K28" s="2">
        <f>220.8+0.62</f>
        <v>221.42000000000002</v>
      </c>
      <c r="L28" s="2">
        <f t="shared" si="1"/>
        <v>12.692420583539302</v>
      </c>
      <c r="M28" s="1">
        <v>116</v>
      </c>
      <c r="N28" s="3">
        <f>249+3</f>
        <v>252</v>
      </c>
    </row>
    <row r="29" spans="1:14" x14ac:dyDescent="0.3">
      <c r="A29" t="s">
        <v>32</v>
      </c>
      <c r="B29" t="str">
        <f t="shared" si="0"/>
        <v>Olympic_3</v>
      </c>
      <c r="C29" t="s">
        <v>26</v>
      </c>
      <c r="D29">
        <v>3</v>
      </c>
      <c r="E29">
        <v>118</v>
      </c>
      <c r="F29">
        <v>4</v>
      </c>
      <c r="H29" s="1">
        <v>42</v>
      </c>
      <c r="I29" s="3">
        <v>1970</v>
      </c>
      <c r="J29" s="3">
        <v>4440</v>
      </c>
      <c r="K29" s="2">
        <f>148.7+13.54</f>
        <v>162.23999999999998</v>
      </c>
      <c r="L29" s="2">
        <f t="shared" si="1"/>
        <v>6.4545529043143688</v>
      </c>
      <c r="M29" s="1">
        <v>79</v>
      </c>
      <c r="N29" s="3">
        <f>611+103</f>
        <v>714</v>
      </c>
    </row>
    <row r="30" spans="1:14" x14ac:dyDescent="0.3">
      <c r="A30" t="s">
        <v>32</v>
      </c>
      <c r="B30" t="str">
        <f t="shared" si="0"/>
        <v>Olympic_3</v>
      </c>
      <c r="C30" t="s">
        <v>26</v>
      </c>
      <c r="D30">
        <v>3</v>
      </c>
      <c r="E30">
        <v>118</v>
      </c>
      <c r="F30">
        <v>4</v>
      </c>
      <c r="H30" s="1">
        <v>47</v>
      </c>
      <c r="I30" s="3">
        <v>4000</v>
      </c>
      <c r="J30" s="3">
        <v>5125</v>
      </c>
      <c r="K30" s="2">
        <f>155.6+15.96</f>
        <v>171.56</v>
      </c>
      <c r="L30" s="2">
        <f t="shared" si="1"/>
        <v>6.9298473906418128</v>
      </c>
      <c r="M30" s="1">
        <v>84</v>
      </c>
      <c r="N30" s="3">
        <f>563+92</f>
        <v>655</v>
      </c>
    </row>
    <row r="31" spans="1:14" x14ac:dyDescent="0.3">
      <c r="A31" t="s">
        <v>32</v>
      </c>
      <c r="B31" t="str">
        <f t="shared" si="0"/>
        <v>Olympic_3</v>
      </c>
      <c r="C31" t="s">
        <v>26</v>
      </c>
      <c r="D31">
        <v>3</v>
      </c>
      <c r="E31">
        <v>118</v>
      </c>
      <c r="F31">
        <v>4</v>
      </c>
      <c r="H31" s="1">
        <v>52</v>
      </c>
      <c r="I31" s="3">
        <v>6980</v>
      </c>
      <c r="J31" s="3">
        <v>5475</v>
      </c>
      <c r="K31" s="2">
        <f>169+8.6</f>
        <v>177.6</v>
      </c>
      <c r="L31" s="2">
        <f t="shared" si="1"/>
        <v>7.6459276649109862</v>
      </c>
      <c r="M31" s="1">
        <v>86</v>
      </c>
      <c r="N31" s="3">
        <f>508+49</f>
        <v>557</v>
      </c>
    </row>
    <row r="32" spans="1:14" x14ac:dyDescent="0.3">
      <c r="A32" t="s">
        <v>32</v>
      </c>
      <c r="B32" t="str">
        <f t="shared" si="0"/>
        <v>Olympic_3</v>
      </c>
      <c r="C32" t="s">
        <v>26</v>
      </c>
      <c r="D32">
        <v>3</v>
      </c>
      <c r="E32">
        <v>118</v>
      </c>
      <c r="F32">
        <v>4</v>
      </c>
      <c r="H32" s="1">
        <v>57</v>
      </c>
      <c r="I32" s="3">
        <v>9913</v>
      </c>
      <c r="J32" s="3">
        <v>6320</v>
      </c>
      <c r="K32" s="2">
        <f>176.8+8.35</f>
        <v>185.15</v>
      </c>
      <c r="L32" s="2">
        <f t="shared" si="1"/>
        <v>8.2562624279707322</v>
      </c>
      <c r="M32" s="1">
        <v>92</v>
      </c>
      <c r="N32" s="3">
        <f>457+41</f>
        <v>498</v>
      </c>
    </row>
    <row r="33" spans="1:14" x14ac:dyDescent="0.3">
      <c r="A33" t="s">
        <v>32</v>
      </c>
      <c r="B33" t="str">
        <f t="shared" si="0"/>
        <v>Olympic_3</v>
      </c>
      <c r="C33" t="s">
        <v>26</v>
      </c>
      <c r="D33">
        <v>3</v>
      </c>
      <c r="E33">
        <v>118</v>
      </c>
      <c r="F33">
        <v>4</v>
      </c>
      <c r="H33" s="1">
        <v>62</v>
      </c>
      <c r="I33" s="3">
        <v>11689</v>
      </c>
      <c r="J33" s="3">
        <v>6242</v>
      </c>
      <c r="K33" s="2">
        <f>171.8+8.1</f>
        <v>179.9</v>
      </c>
      <c r="L33" s="2">
        <f t="shared" si="1"/>
        <v>8.9475323143630447</v>
      </c>
      <c r="M33" s="1">
        <v>94</v>
      </c>
      <c r="N33" s="3">
        <f>385+27</f>
        <v>412</v>
      </c>
    </row>
    <row r="34" spans="1:14" x14ac:dyDescent="0.3">
      <c r="A34" t="s">
        <v>32</v>
      </c>
      <c r="B34" t="str">
        <f t="shared" si="0"/>
        <v>Olympic_3</v>
      </c>
      <c r="C34" t="s">
        <v>26</v>
      </c>
      <c r="D34">
        <v>3</v>
      </c>
      <c r="E34">
        <v>118</v>
      </c>
      <c r="F34">
        <v>4</v>
      </c>
      <c r="H34" s="1">
        <v>72</v>
      </c>
      <c r="I34" s="3">
        <v>17351</v>
      </c>
      <c r="J34" s="3">
        <v>7070</v>
      </c>
      <c r="K34" s="2">
        <f>182.5+8.82</f>
        <v>191.32</v>
      </c>
      <c r="L34" s="2">
        <f t="shared" si="1"/>
        <v>10.098044185741959</v>
      </c>
      <c r="M34" s="1">
        <v>101</v>
      </c>
      <c r="N34" s="3">
        <f>324+20</f>
        <v>344</v>
      </c>
    </row>
    <row r="35" spans="1:14" x14ac:dyDescent="0.3">
      <c r="A35" t="s">
        <v>32</v>
      </c>
      <c r="B35" t="str">
        <f t="shared" si="0"/>
        <v>Olympic_4</v>
      </c>
      <c r="C35" t="s">
        <v>26</v>
      </c>
      <c r="D35">
        <v>4</v>
      </c>
      <c r="E35">
        <v>116</v>
      </c>
      <c r="F35">
        <v>4</v>
      </c>
      <c r="H35" s="1">
        <v>42</v>
      </c>
      <c r="I35" s="3">
        <v>980</v>
      </c>
      <c r="J35" s="3">
        <v>5920</v>
      </c>
      <c r="K35" s="2">
        <f>191.6+2.69</f>
        <v>194.29</v>
      </c>
      <c r="L35" s="2">
        <f t="shared" si="1"/>
        <v>6.1429294681570719</v>
      </c>
      <c r="M35" s="1">
        <v>78</v>
      </c>
      <c r="N35" s="3">
        <f>929+15</f>
        <v>944</v>
      </c>
    </row>
    <row r="36" spans="1:14" x14ac:dyDescent="0.3">
      <c r="A36" t="s">
        <v>32</v>
      </c>
      <c r="B36" t="str">
        <f t="shared" si="0"/>
        <v>Olympic_4</v>
      </c>
      <c r="C36" t="s">
        <v>26</v>
      </c>
      <c r="D36">
        <v>4</v>
      </c>
      <c r="E36">
        <v>116</v>
      </c>
      <c r="F36">
        <v>4</v>
      </c>
      <c r="H36" s="1">
        <v>47</v>
      </c>
      <c r="I36" s="3">
        <v>2340</v>
      </c>
      <c r="J36" s="3">
        <v>6370</v>
      </c>
      <c r="K36" s="2">
        <f>192.4+2.99</f>
        <v>195.39000000000001</v>
      </c>
      <c r="L36" s="2">
        <f t="shared" si="1"/>
        <v>6.9204871948139042</v>
      </c>
      <c r="M36" s="1">
        <v>84</v>
      </c>
      <c r="N36" s="3">
        <f>732+16</f>
        <v>748</v>
      </c>
    </row>
    <row r="37" spans="1:14" x14ac:dyDescent="0.3">
      <c r="A37" t="s">
        <v>32</v>
      </c>
      <c r="B37" t="str">
        <f t="shared" si="0"/>
        <v>Olympic_4</v>
      </c>
      <c r="C37" t="s">
        <v>26</v>
      </c>
      <c r="D37">
        <v>4</v>
      </c>
      <c r="E37">
        <v>116</v>
      </c>
      <c r="F37">
        <v>4</v>
      </c>
      <c r="H37" s="1">
        <v>52</v>
      </c>
      <c r="I37" s="3">
        <v>5443</v>
      </c>
      <c r="J37" s="3">
        <v>6803</v>
      </c>
      <c r="K37" s="2">
        <f>199.9+2.63</f>
        <v>202.53</v>
      </c>
      <c r="L37" s="2">
        <f t="shared" si="1"/>
        <v>7.5875423116421707</v>
      </c>
      <c r="M37" s="1">
        <v>88</v>
      </c>
      <c r="N37" s="3">
        <f>633+12</f>
        <v>645</v>
      </c>
    </row>
    <row r="38" spans="1:14" x14ac:dyDescent="0.3">
      <c r="A38" t="s">
        <v>32</v>
      </c>
      <c r="B38" t="str">
        <f t="shared" si="0"/>
        <v>Olympic_4</v>
      </c>
      <c r="C38" t="s">
        <v>26</v>
      </c>
      <c r="D38">
        <v>4</v>
      </c>
      <c r="E38">
        <v>116</v>
      </c>
      <c r="F38">
        <v>4</v>
      </c>
      <c r="H38" s="1">
        <v>57</v>
      </c>
      <c r="I38" s="3">
        <v>9905</v>
      </c>
      <c r="J38" s="3">
        <v>7466</v>
      </c>
      <c r="K38" s="2">
        <f>206+2.39</f>
        <v>208.39</v>
      </c>
      <c r="L38" s="2">
        <f t="shared" si="1"/>
        <v>8.2673978059843378</v>
      </c>
      <c r="M38" s="1">
        <v>92</v>
      </c>
      <c r="N38" s="3">
        <f>547+12</f>
        <v>559</v>
      </c>
    </row>
    <row r="39" spans="1:14" x14ac:dyDescent="0.3">
      <c r="A39" t="s">
        <v>32</v>
      </c>
      <c r="B39" t="str">
        <f t="shared" si="0"/>
        <v>Olympic_4</v>
      </c>
      <c r="C39" t="s">
        <v>26</v>
      </c>
      <c r="D39">
        <v>4</v>
      </c>
      <c r="E39">
        <v>116</v>
      </c>
      <c r="F39">
        <v>4</v>
      </c>
      <c r="H39" s="1">
        <v>62</v>
      </c>
      <c r="I39" s="3">
        <v>13105</v>
      </c>
      <c r="J39" s="3">
        <v>7683</v>
      </c>
      <c r="K39" s="2">
        <f>207+2.52</f>
        <v>209.52</v>
      </c>
      <c r="L39" s="2">
        <f t="shared" si="1"/>
        <v>8.9834999190922673</v>
      </c>
      <c r="M39" s="1">
        <v>94</v>
      </c>
      <c r="N39" s="3">
        <f>464+12</f>
        <v>476</v>
      </c>
    </row>
    <row r="40" spans="1:14" x14ac:dyDescent="0.3">
      <c r="A40" t="s">
        <v>32</v>
      </c>
      <c r="B40" t="str">
        <f t="shared" si="0"/>
        <v>Olympic_4</v>
      </c>
      <c r="C40" t="s">
        <v>26</v>
      </c>
      <c r="D40">
        <v>4</v>
      </c>
      <c r="E40">
        <v>116</v>
      </c>
      <c r="F40">
        <v>4</v>
      </c>
      <c r="H40" s="1">
        <v>72</v>
      </c>
      <c r="I40" s="3">
        <v>20245</v>
      </c>
      <c r="J40" s="3">
        <v>8780</v>
      </c>
      <c r="K40" s="2">
        <f>227+1.68</f>
        <v>228.68</v>
      </c>
      <c r="L40" s="2">
        <f t="shared" si="1"/>
        <v>10.225350590748381</v>
      </c>
      <c r="M40" s="1">
        <v>99</v>
      </c>
      <c r="N40" s="3">
        <f>397+4</f>
        <v>401</v>
      </c>
    </row>
    <row r="41" spans="1:14" x14ac:dyDescent="0.3">
      <c r="A41" t="s">
        <v>32</v>
      </c>
      <c r="B41" t="str">
        <f t="shared" si="0"/>
        <v>Pinchot_1</v>
      </c>
      <c r="C41" t="s">
        <v>27</v>
      </c>
      <c r="D41">
        <v>1</v>
      </c>
      <c r="E41">
        <v>181</v>
      </c>
      <c r="F41">
        <v>2</v>
      </c>
      <c r="H41" s="1">
        <v>55</v>
      </c>
      <c r="I41" s="3">
        <v>56270</v>
      </c>
      <c r="J41" s="3">
        <v>12490</v>
      </c>
      <c r="K41" s="2">
        <v>271.3</v>
      </c>
      <c r="L41" s="2">
        <f t="shared" si="1"/>
        <v>15.577016080441085</v>
      </c>
      <c r="M41" s="1">
        <v>130</v>
      </c>
      <c r="N41" s="3">
        <v>205</v>
      </c>
    </row>
    <row r="42" spans="1:14" x14ac:dyDescent="0.3">
      <c r="A42" t="s">
        <v>32</v>
      </c>
      <c r="B42" t="str">
        <f t="shared" si="0"/>
        <v>Pinchot_1</v>
      </c>
      <c r="C42" t="s">
        <v>27</v>
      </c>
      <c r="D42">
        <v>1</v>
      </c>
      <c r="E42">
        <v>181</v>
      </c>
      <c r="F42">
        <v>2</v>
      </c>
      <c r="H42" s="1">
        <v>60</v>
      </c>
      <c r="I42" s="3">
        <v>67900</v>
      </c>
      <c r="J42" s="3">
        <v>13900</v>
      </c>
      <c r="K42" s="2">
        <v>286.10000000000002</v>
      </c>
      <c r="L42" s="2">
        <f t="shared" si="1"/>
        <v>17.07100062453441</v>
      </c>
      <c r="N42" s="3">
        <v>180</v>
      </c>
    </row>
    <row r="43" spans="1:14" x14ac:dyDescent="0.3">
      <c r="A43" t="s">
        <v>32</v>
      </c>
      <c r="B43" t="str">
        <f t="shared" si="0"/>
        <v>Pinchot_1</v>
      </c>
      <c r="C43" t="s">
        <v>27</v>
      </c>
      <c r="D43">
        <v>1</v>
      </c>
      <c r="E43">
        <v>181</v>
      </c>
      <c r="F43">
        <v>2</v>
      </c>
      <c r="H43" s="1">
        <v>66</v>
      </c>
      <c r="I43" s="3">
        <v>77830</v>
      </c>
      <c r="J43" s="3">
        <v>15375</v>
      </c>
      <c r="K43" s="2">
        <v>297.5</v>
      </c>
      <c r="L43" s="2">
        <f t="shared" si="1"/>
        <v>18.237187487285876</v>
      </c>
      <c r="M43" s="1">
        <v>148</v>
      </c>
      <c r="N43" s="3">
        <v>164</v>
      </c>
    </row>
    <row r="44" spans="1:14" x14ac:dyDescent="0.3">
      <c r="A44" t="s">
        <v>32</v>
      </c>
      <c r="B44" t="str">
        <f t="shared" si="0"/>
        <v>Pinchot_1</v>
      </c>
      <c r="C44" t="s">
        <v>27</v>
      </c>
      <c r="D44">
        <v>1</v>
      </c>
      <c r="E44">
        <v>181</v>
      </c>
      <c r="F44">
        <v>2</v>
      </c>
      <c r="H44" s="1">
        <v>76</v>
      </c>
      <c r="I44" s="3">
        <v>100742</v>
      </c>
      <c r="J44" s="3">
        <v>19405</v>
      </c>
      <c r="K44" s="2">
        <v>322.39999999999998</v>
      </c>
      <c r="L44" s="2">
        <f t="shared" si="1"/>
        <v>19.851265091434207</v>
      </c>
      <c r="M44" s="1">
        <v>163</v>
      </c>
      <c r="N44" s="3">
        <v>150</v>
      </c>
    </row>
    <row r="45" spans="1:14" x14ac:dyDescent="0.3">
      <c r="A45" t="s">
        <v>32</v>
      </c>
      <c r="B45" t="str">
        <f t="shared" si="0"/>
        <v>Pinchot_1</v>
      </c>
      <c r="C45" t="s">
        <v>27</v>
      </c>
      <c r="D45">
        <v>1</v>
      </c>
      <c r="E45">
        <v>181</v>
      </c>
      <c r="F45">
        <v>2</v>
      </c>
      <c r="H45" s="1">
        <v>91</v>
      </c>
      <c r="I45" s="3">
        <v>103412</v>
      </c>
      <c r="J45" s="3">
        <v>18629</v>
      </c>
      <c r="K45" s="2">
        <v>326</v>
      </c>
      <c r="L45" s="2">
        <f t="shared" si="1"/>
        <v>20.66241519366551</v>
      </c>
      <c r="M45" s="1">
        <v>166</v>
      </c>
      <c r="N45" s="3">
        <v>140</v>
      </c>
    </row>
    <row r="46" spans="1:14" x14ac:dyDescent="0.3">
      <c r="A46" t="s">
        <v>32</v>
      </c>
      <c r="B46" t="str">
        <f t="shared" si="0"/>
        <v>Pinchot_2</v>
      </c>
      <c r="C46" t="s">
        <v>27</v>
      </c>
      <c r="D46">
        <v>2</v>
      </c>
      <c r="E46">
        <v>175</v>
      </c>
      <c r="F46">
        <v>2</v>
      </c>
      <c r="H46" s="1">
        <v>50</v>
      </c>
      <c r="I46" s="3">
        <v>27900</v>
      </c>
      <c r="J46" s="3">
        <v>8520</v>
      </c>
      <c r="K46" s="2">
        <v>223.7</v>
      </c>
      <c r="L46" s="2">
        <f t="shared" si="1"/>
        <v>11.791207604594605</v>
      </c>
      <c r="N46" s="3">
        <v>295</v>
      </c>
    </row>
    <row r="47" spans="1:14" x14ac:dyDescent="0.3">
      <c r="A47" t="s">
        <v>32</v>
      </c>
      <c r="B47" t="str">
        <f t="shared" si="0"/>
        <v>Pinchot_2</v>
      </c>
      <c r="C47" t="s">
        <v>27</v>
      </c>
      <c r="D47">
        <v>2</v>
      </c>
      <c r="E47">
        <v>175</v>
      </c>
      <c r="F47">
        <v>2</v>
      </c>
      <c r="H47" s="1">
        <v>55</v>
      </c>
      <c r="I47" s="3">
        <v>37350</v>
      </c>
      <c r="J47" s="3">
        <v>10080</v>
      </c>
      <c r="K47" s="2">
        <v>246.4</v>
      </c>
      <c r="L47" s="2">
        <f t="shared" si="1"/>
        <v>12.657038451398217</v>
      </c>
      <c r="N47" s="3">
        <v>282</v>
      </c>
    </row>
    <row r="48" spans="1:14" x14ac:dyDescent="0.3">
      <c r="A48" t="s">
        <v>32</v>
      </c>
      <c r="B48" t="str">
        <f t="shared" si="0"/>
        <v>Pinchot_2</v>
      </c>
      <c r="C48" t="s">
        <v>27</v>
      </c>
      <c r="D48">
        <v>2</v>
      </c>
      <c r="E48">
        <v>175</v>
      </c>
      <c r="F48">
        <v>2</v>
      </c>
      <c r="H48" s="1">
        <v>60</v>
      </c>
      <c r="I48" s="3">
        <v>44430</v>
      </c>
      <c r="J48" s="3">
        <v>10920</v>
      </c>
      <c r="K48" s="2">
        <v>258.3</v>
      </c>
      <c r="L48" s="2">
        <f t="shared" si="1"/>
        <v>14.16584558587256</v>
      </c>
      <c r="N48" s="3">
        <v>236</v>
      </c>
    </row>
    <row r="49" spans="1:14" x14ac:dyDescent="0.3">
      <c r="A49" t="s">
        <v>32</v>
      </c>
      <c r="B49" t="str">
        <f t="shared" si="0"/>
        <v>Pinchot_2</v>
      </c>
      <c r="C49" t="s">
        <v>27</v>
      </c>
      <c r="D49">
        <v>2</v>
      </c>
      <c r="E49">
        <v>175</v>
      </c>
      <c r="F49">
        <v>2</v>
      </c>
      <c r="H49" s="1">
        <v>66</v>
      </c>
      <c r="I49" s="3">
        <v>57831</v>
      </c>
      <c r="J49" s="3">
        <v>12605</v>
      </c>
      <c r="K49" s="2">
        <v>266.7</v>
      </c>
      <c r="L49" s="2">
        <f t="shared" si="1"/>
        <v>15.9586884125558</v>
      </c>
      <c r="N49" s="3">
        <v>192</v>
      </c>
    </row>
    <row r="50" spans="1:14" x14ac:dyDescent="0.3">
      <c r="A50" t="s">
        <v>32</v>
      </c>
      <c r="B50" t="str">
        <f t="shared" si="0"/>
        <v>Pinchot_2</v>
      </c>
      <c r="C50" t="s">
        <v>27</v>
      </c>
      <c r="D50">
        <v>2</v>
      </c>
      <c r="E50">
        <v>175</v>
      </c>
      <c r="F50">
        <v>2</v>
      </c>
      <c r="H50" s="1">
        <v>76</v>
      </c>
      <c r="I50" s="3">
        <v>75078</v>
      </c>
      <c r="J50" s="3">
        <v>15110</v>
      </c>
      <c r="K50" s="2">
        <v>290.5</v>
      </c>
      <c r="L50" s="2">
        <f t="shared" si="1"/>
        <v>17.597263889579406</v>
      </c>
      <c r="N50" s="3">
        <v>172</v>
      </c>
    </row>
    <row r="51" spans="1:14" x14ac:dyDescent="0.3">
      <c r="A51" t="s">
        <v>32</v>
      </c>
      <c r="B51" t="str">
        <f t="shared" si="0"/>
        <v>Pinchot_2</v>
      </c>
      <c r="C51" t="s">
        <v>27</v>
      </c>
      <c r="D51">
        <v>2</v>
      </c>
      <c r="E51">
        <v>175</v>
      </c>
      <c r="F51">
        <v>2</v>
      </c>
      <c r="H51" s="1">
        <v>81</v>
      </c>
      <c r="I51" s="3">
        <v>84344</v>
      </c>
      <c r="J51" s="3">
        <v>16325</v>
      </c>
      <c r="K51" s="2">
        <v>302.10000000000002</v>
      </c>
      <c r="L51" s="2">
        <f t="shared" si="1"/>
        <v>18.433926957662603</v>
      </c>
      <c r="N51" s="3">
        <v>163</v>
      </c>
    </row>
    <row r="52" spans="1:14" x14ac:dyDescent="0.3">
      <c r="A52" t="s">
        <v>32</v>
      </c>
      <c r="B52" t="str">
        <f t="shared" si="0"/>
        <v>Pinchot_3</v>
      </c>
      <c r="C52" t="s">
        <v>27</v>
      </c>
      <c r="D52">
        <v>3</v>
      </c>
      <c r="E52">
        <v>174</v>
      </c>
      <c r="F52">
        <v>2</v>
      </c>
      <c r="H52" s="1">
        <v>50</v>
      </c>
      <c r="I52" s="3">
        <v>36920</v>
      </c>
      <c r="J52" s="3">
        <v>10180</v>
      </c>
      <c r="K52" s="2">
        <v>243.7</v>
      </c>
      <c r="L52" s="2">
        <f t="shared" si="1"/>
        <v>13.211255259856662</v>
      </c>
      <c r="M52" s="1">
        <v>117</v>
      </c>
      <c r="N52" s="3">
        <v>256</v>
      </c>
    </row>
    <row r="53" spans="1:14" x14ac:dyDescent="0.3">
      <c r="A53" t="s">
        <v>32</v>
      </c>
      <c r="B53" t="str">
        <f t="shared" si="0"/>
        <v>Pinchot_3</v>
      </c>
      <c r="C53" t="s">
        <v>27</v>
      </c>
      <c r="D53">
        <v>3</v>
      </c>
      <c r="E53">
        <v>174</v>
      </c>
      <c r="F53">
        <v>2</v>
      </c>
      <c r="H53" s="1">
        <v>55</v>
      </c>
      <c r="I53" s="3">
        <v>45380</v>
      </c>
      <c r="J53" s="3">
        <v>11680</v>
      </c>
      <c r="K53" s="2">
        <v>267.89999999999998</v>
      </c>
      <c r="L53" s="2">
        <f t="shared" si="1"/>
        <v>14.016921926416806</v>
      </c>
      <c r="M53" s="1">
        <v>121</v>
      </c>
      <c r="N53" s="3">
        <v>250</v>
      </c>
    </row>
    <row r="54" spans="1:14" x14ac:dyDescent="0.3">
      <c r="A54" t="s">
        <v>32</v>
      </c>
      <c r="B54" t="str">
        <f t="shared" si="0"/>
        <v>Pinchot_3</v>
      </c>
      <c r="C54" t="s">
        <v>27</v>
      </c>
      <c r="D54">
        <v>3</v>
      </c>
      <c r="E54">
        <v>174</v>
      </c>
      <c r="F54">
        <v>2</v>
      </c>
      <c r="H54" s="1">
        <v>60</v>
      </c>
      <c r="I54" s="3">
        <v>57000</v>
      </c>
      <c r="J54" s="3">
        <v>12980</v>
      </c>
      <c r="K54" s="2">
        <v>279.3</v>
      </c>
      <c r="L54" s="2">
        <f t="shared" si="1"/>
        <v>15.433077595671625</v>
      </c>
      <c r="N54" s="3">
        <v>215</v>
      </c>
    </row>
    <row r="55" spans="1:14" x14ac:dyDescent="0.3">
      <c r="A55" t="s">
        <v>32</v>
      </c>
      <c r="B55" t="str">
        <f t="shared" si="0"/>
        <v>Pinchot_3</v>
      </c>
      <c r="C55" t="s">
        <v>27</v>
      </c>
      <c r="D55">
        <v>3</v>
      </c>
      <c r="E55">
        <v>174</v>
      </c>
      <c r="F55">
        <v>2</v>
      </c>
      <c r="H55" s="1">
        <v>66</v>
      </c>
      <c r="I55" s="3">
        <v>66034</v>
      </c>
      <c r="J55" s="3">
        <v>14039</v>
      </c>
      <c r="K55" s="2">
        <v>289</v>
      </c>
      <c r="L55" s="2">
        <f t="shared" si="1"/>
        <v>16.788283662015441</v>
      </c>
      <c r="N55" s="3">
        <v>188</v>
      </c>
    </row>
    <row r="56" spans="1:14" x14ac:dyDescent="0.3">
      <c r="A56" t="s">
        <v>32</v>
      </c>
      <c r="B56" t="str">
        <f t="shared" si="0"/>
        <v>Pinchot_3</v>
      </c>
      <c r="C56" t="s">
        <v>27</v>
      </c>
      <c r="D56">
        <v>3</v>
      </c>
      <c r="E56">
        <v>174</v>
      </c>
      <c r="F56">
        <v>2</v>
      </c>
      <c r="H56" s="1">
        <v>76</v>
      </c>
      <c r="I56" s="3">
        <v>83914</v>
      </c>
      <c r="J56" s="3">
        <v>16042</v>
      </c>
      <c r="K56" s="2">
        <v>294</v>
      </c>
      <c r="L56" s="2">
        <f t="shared" si="1"/>
        <v>18.831641293900098</v>
      </c>
      <c r="N56" s="3">
        <v>152</v>
      </c>
    </row>
    <row r="57" spans="1:14" x14ac:dyDescent="0.3">
      <c r="A57" t="s">
        <v>32</v>
      </c>
      <c r="B57" t="str">
        <f t="shared" si="0"/>
        <v>Pinchot_3</v>
      </c>
      <c r="C57" t="s">
        <v>27</v>
      </c>
      <c r="D57">
        <v>3</v>
      </c>
      <c r="E57">
        <v>174</v>
      </c>
      <c r="F57">
        <v>2</v>
      </c>
      <c r="H57" s="1">
        <v>81</v>
      </c>
      <c r="I57" s="3">
        <v>82029</v>
      </c>
      <c r="J57" s="3">
        <v>15353</v>
      </c>
      <c r="K57" s="2">
        <v>281.89999999999998</v>
      </c>
      <c r="L57" s="2">
        <f t="shared" si="1"/>
        <v>19.863153188989639</v>
      </c>
      <c r="M57" s="1">
        <v>159</v>
      </c>
      <c r="N57" s="3">
        <v>131</v>
      </c>
    </row>
    <row r="58" spans="1:14" x14ac:dyDescent="0.3">
      <c r="A58" t="s">
        <v>32</v>
      </c>
      <c r="B58" t="str">
        <f t="shared" si="0"/>
        <v>Pinchot_4</v>
      </c>
      <c r="C58" t="s">
        <v>27</v>
      </c>
      <c r="D58">
        <v>4</v>
      </c>
      <c r="E58">
        <v>172</v>
      </c>
      <c r="F58">
        <v>2</v>
      </c>
      <c r="H58" s="1">
        <v>56</v>
      </c>
      <c r="I58" s="3">
        <v>32410</v>
      </c>
      <c r="J58" s="3">
        <v>8460</v>
      </c>
      <c r="K58" s="2">
        <f>205.7+2.6</f>
        <v>208.29999999999998</v>
      </c>
      <c r="L58" s="2">
        <f t="shared" si="1"/>
        <v>12.536543156652701</v>
      </c>
      <c r="M58" s="1">
        <v>116</v>
      </c>
      <c r="N58" s="3">
        <f>223+20</f>
        <v>243</v>
      </c>
    </row>
    <row r="59" spans="1:14" x14ac:dyDescent="0.3">
      <c r="A59" t="s">
        <v>32</v>
      </c>
      <c r="B59" t="str">
        <f t="shared" si="0"/>
        <v>Pinchot_4</v>
      </c>
      <c r="C59" t="s">
        <v>27</v>
      </c>
      <c r="D59">
        <v>4</v>
      </c>
      <c r="E59">
        <v>172</v>
      </c>
      <c r="F59">
        <v>2</v>
      </c>
      <c r="H59" s="1">
        <v>61</v>
      </c>
      <c r="I59" s="3">
        <v>39900</v>
      </c>
      <c r="J59" s="3">
        <v>9590</v>
      </c>
      <c r="K59" s="2">
        <f>222.4+3</f>
        <v>225.4</v>
      </c>
      <c r="L59" s="2">
        <f t="shared" si="1"/>
        <v>13.492745511111796</v>
      </c>
      <c r="M59" s="1">
        <v>124</v>
      </c>
      <c r="N59" s="3">
        <f>207+20</f>
        <v>227</v>
      </c>
    </row>
    <row r="60" spans="1:14" x14ac:dyDescent="0.3">
      <c r="A60" t="s">
        <v>32</v>
      </c>
      <c r="B60" t="str">
        <f t="shared" si="0"/>
        <v>Pinchot_4</v>
      </c>
      <c r="C60" t="s">
        <v>27</v>
      </c>
      <c r="D60">
        <v>4</v>
      </c>
      <c r="E60">
        <v>172</v>
      </c>
      <c r="F60">
        <v>2</v>
      </c>
      <c r="H60" s="1">
        <v>66</v>
      </c>
      <c r="I60" s="3">
        <v>50190</v>
      </c>
      <c r="J60" s="3">
        <v>11110</v>
      </c>
      <c r="K60" s="2">
        <v>242.1</v>
      </c>
      <c r="L60" s="2">
        <f t="shared" si="1"/>
        <v>14.504156226059806</v>
      </c>
      <c r="M60" s="1">
        <v>136</v>
      </c>
      <c r="N60" s="3">
        <f>191+20</f>
        <v>211</v>
      </c>
    </row>
    <row r="61" spans="1:14" x14ac:dyDescent="0.3">
      <c r="A61" t="s">
        <v>32</v>
      </c>
      <c r="B61" t="str">
        <f t="shared" si="0"/>
        <v>Pinchot_4</v>
      </c>
      <c r="C61" t="s">
        <v>27</v>
      </c>
      <c r="D61">
        <v>4</v>
      </c>
      <c r="E61">
        <v>172</v>
      </c>
      <c r="F61">
        <v>2</v>
      </c>
      <c r="H61" s="1">
        <v>72</v>
      </c>
      <c r="I61" s="3">
        <v>58791</v>
      </c>
      <c r="J61" s="3">
        <v>12288</v>
      </c>
      <c r="K61" s="2">
        <v>251.9</v>
      </c>
      <c r="L61" s="2">
        <f t="shared" si="1"/>
        <v>16.06289683705484</v>
      </c>
      <c r="N61" s="3">
        <f>158+21</f>
        <v>179</v>
      </c>
    </row>
    <row r="62" spans="1:14" x14ac:dyDescent="0.3">
      <c r="A62" t="s">
        <v>32</v>
      </c>
      <c r="B62" t="str">
        <f t="shared" si="0"/>
        <v>Pinchot_4</v>
      </c>
      <c r="C62" t="s">
        <v>27</v>
      </c>
      <c r="D62">
        <v>4</v>
      </c>
      <c r="E62">
        <v>172</v>
      </c>
      <c r="F62">
        <v>2</v>
      </c>
      <c r="H62" s="1">
        <v>82</v>
      </c>
      <c r="I62" s="3">
        <v>77868</v>
      </c>
      <c r="J62" s="3">
        <v>14792</v>
      </c>
      <c r="K62" s="2">
        <v>276.10000000000002</v>
      </c>
      <c r="L62" s="2" t="str">
        <f t="shared" si="1"/>
        <v/>
      </c>
      <c r="M62" s="1">
        <v>160</v>
      </c>
    </row>
    <row r="63" spans="1:14" x14ac:dyDescent="0.3">
      <c r="A63" t="s">
        <v>32</v>
      </c>
      <c r="B63" t="str">
        <f t="shared" si="0"/>
        <v>Pinchot_4</v>
      </c>
      <c r="C63" t="s">
        <v>27</v>
      </c>
      <c r="D63">
        <v>4</v>
      </c>
      <c r="E63">
        <v>172</v>
      </c>
      <c r="F63">
        <v>2</v>
      </c>
      <c r="H63" s="1">
        <v>87</v>
      </c>
      <c r="I63" s="3">
        <v>82350</v>
      </c>
      <c r="J63" s="3">
        <v>15414</v>
      </c>
      <c r="K63" s="2">
        <v>288</v>
      </c>
      <c r="L63" s="2" t="str">
        <f t="shared" si="1"/>
        <v/>
      </c>
      <c r="M63" s="1">
        <v>162</v>
      </c>
    </row>
    <row r="64" spans="1:14" x14ac:dyDescent="0.3">
      <c r="A64" t="s">
        <v>32</v>
      </c>
      <c r="B64" t="str">
        <f t="shared" si="0"/>
        <v>Pinchot_5</v>
      </c>
      <c r="C64" t="s">
        <v>27</v>
      </c>
      <c r="D64">
        <v>5</v>
      </c>
      <c r="E64">
        <v>185</v>
      </c>
      <c r="F64">
        <v>2</v>
      </c>
      <c r="H64" s="1">
        <v>53</v>
      </c>
      <c r="I64" s="3">
        <v>40330</v>
      </c>
      <c r="J64" s="3">
        <v>9600</v>
      </c>
      <c r="K64" s="2">
        <f>237.8+7.9</f>
        <v>245.70000000000002</v>
      </c>
      <c r="L64" s="2">
        <f t="shared" si="1"/>
        <v>15.562609063662206</v>
      </c>
      <c r="M64" s="1">
        <v>118</v>
      </c>
      <c r="N64" s="3">
        <v>186</v>
      </c>
    </row>
    <row r="65" spans="1:14" x14ac:dyDescent="0.3">
      <c r="A65" t="s">
        <v>32</v>
      </c>
      <c r="B65" t="str">
        <f t="shared" si="0"/>
        <v>Pinchot_5</v>
      </c>
      <c r="C65" t="s">
        <v>27</v>
      </c>
      <c r="D65">
        <v>5</v>
      </c>
      <c r="E65">
        <v>185</v>
      </c>
      <c r="F65">
        <v>2</v>
      </c>
      <c r="H65" s="1">
        <v>57</v>
      </c>
      <c r="I65" s="3">
        <v>47170</v>
      </c>
      <c r="J65" s="3">
        <v>10770</v>
      </c>
      <c r="K65" s="2">
        <f>248.2+7.4</f>
        <v>255.6</v>
      </c>
      <c r="L65" s="2">
        <f t="shared" si="1"/>
        <v>15.193880546000942</v>
      </c>
      <c r="M65" s="1">
        <v>124</v>
      </c>
      <c r="N65" s="3">
        <f>180+23</f>
        <v>203</v>
      </c>
    </row>
    <row r="66" spans="1:14" x14ac:dyDescent="0.3">
      <c r="A66" t="s">
        <v>32</v>
      </c>
      <c r="B66" t="str">
        <f t="shared" si="0"/>
        <v>Pinchot_5</v>
      </c>
      <c r="C66" t="s">
        <v>27</v>
      </c>
      <c r="D66">
        <v>5</v>
      </c>
      <c r="E66">
        <v>185</v>
      </c>
      <c r="F66">
        <v>2</v>
      </c>
      <c r="H66" s="1">
        <v>62</v>
      </c>
      <c r="I66" s="3">
        <v>58550</v>
      </c>
      <c r="J66" s="3">
        <v>12380</v>
      </c>
      <c r="L66" s="2" t="str">
        <f t="shared" si="1"/>
        <v/>
      </c>
      <c r="M66" s="1">
        <v>136</v>
      </c>
      <c r="N66" s="3">
        <f>164+12</f>
        <v>176</v>
      </c>
    </row>
    <row r="67" spans="1:14" x14ac:dyDescent="0.3">
      <c r="A67" t="s">
        <v>32</v>
      </c>
      <c r="B67" t="str">
        <f t="shared" ref="B67:B130" si="2">C67&amp;"_"&amp;D67</f>
        <v>Pinchot_5</v>
      </c>
      <c r="C67" t="s">
        <v>27</v>
      </c>
      <c r="D67">
        <v>5</v>
      </c>
      <c r="E67">
        <v>185</v>
      </c>
      <c r="F67">
        <v>2</v>
      </c>
      <c r="H67" s="1">
        <v>68</v>
      </c>
      <c r="I67" s="3">
        <v>67292</v>
      </c>
      <c r="J67" s="3">
        <v>13389</v>
      </c>
      <c r="K67" s="2">
        <f>275.2+4.7</f>
        <v>279.89999999999998</v>
      </c>
      <c r="L67" s="2">
        <f t="shared" ref="L67:L130" si="3">IF(NOT(OR(ISBLANK(N67),ISBLANK(K67))),SQRT((K67/N67)/0.005454154),"")</f>
        <v>18.684396882861627</v>
      </c>
      <c r="N67" s="3">
        <f>138+9</f>
        <v>147</v>
      </c>
    </row>
    <row r="68" spans="1:14" x14ac:dyDescent="0.3">
      <c r="A68" t="s">
        <v>32</v>
      </c>
      <c r="B68" t="str">
        <f t="shared" si="2"/>
        <v>Pinchot_5</v>
      </c>
      <c r="C68" t="s">
        <v>27</v>
      </c>
      <c r="D68">
        <v>5</v>
      </c>
      <c r="E68">
        <v>185</v>
      </c>
      <c r="F68">
        <v>2</v>
      </c>
      <c r="H68" s="1">
        <v>78</v>
      </c>
      <c r="I68" s="3">
        <v>95608</v>
      </c>
      <c r="J68" s="3">
        <v>17042</v>
      </c>
      <c r="K68" s="2">
        <f>295.7+3.2</f>
        <v>298.89999999999998</v>
      </c>
      <c r="L68" s="2">
        <f t="shared" si="3"/>
        <v>20.85518212585249</v>
      </c>
      <c r="M68" s="1">
        <v>169</v>
      </c>
      <c r="N68" s="3">
        <f>121+5</f>
        <v>126</v>
      </c>
    </row>
    <row r="69" spans="1:14" x14ac:dyDescent="0.3">
      <c r="A69" t="s">
        <v>32</v>
      </c>
      <c r="B69" t="str">
        <f t="shared" si="2"/>
        <v>Pinchot_5</v>
      </c>
      <c r="C69" t="s">
        <v>27</v>
      </c>
      <c r="D69">
        <v>5</v>
      </c>
      <c r="E69">
        <v>185</v>
      </c>
      <c r="F69">
        <v>2</v>
      </c>
      <c r="H69" s="1">
        <v>83</v>
      </c>
      <c r="I69" s="3">
        <v>98919</v>
      </c>
      <c r="J69" s="3">
        <v>16542</v>
      </c>
      <c r="K69" s="2">
        <f>305+2.8</f>
        <v>307.8</v>
      </c>
      <c r="L69" s="2">
        <f t="shared" si="3"/>
        <v>21.686026623085546</v>
      </c>
      <c r="M69" s="1">
        <v>171</v>
      </c>
      <c r="N69" s="3">
        <f>116+4</f>
        <v>120</v>
      </c>
    </row>
    <row r="70" spans="1:14" x14ac:dyDescent="0.3">
      <c r="A70" t="s">
        <v>32</v>
      </c>
      <c r="B70" t="str">
        <f t="shared" si="2"/>
        <v>Pinchot_7</v>
      </c>
      <c r="C70" t="s">
        <v>27</v>
      </c>
      <c r="D70">
        <v>7</v>
      </c>
      <c r="E70">
        <v>176</v>
      </c>
      <c r="F70">
        <v>2</v>
      </c>
      <c r="H70" s="1">
        <v>52</v>
      </c>
      <c r="I70" s="3">
        <v>33470</v>
      </c>
      <c r="J70" s="3">
        <v>9220</v>
      </c>
      <c r="L70" s="2" t="str">
        <f t="shared" si="3"/>
        <v/>
      </c>
      <c r="M70" s="1">
        <v>123</v>
      </c>
      <c r="N70" s="3">
        <f>257+15</f>
        <v>272</v>
      </c>
    </row>
    <row r="71" spans="1:14" x14ac:dyDescent="0.3">
      <c r="A71" t="s">
        <v>32</v>
      </c>
      <c r="B71" t="str">
        <f t="shared" si="2"/>
        <v>Pinchot_7</v>
      </c>
      <c r="C71" t="s">
        <v>27</v>
      </c>
      <c r="D71">
        <v>7</v>
      </c>
      <c r="E71">
        <v>176</v>
      </c>
      <c r="F71">
        <v>2</v>
      </c>
      <c r="H71" s="1">
        <v>56</v>
      </c>
      <c r="I71" s="3">
        <v>40550</v>
      </c>
      <c r="J71" s="3">
        <v>10370</v>
      </c>
      <c r="K71" s="2">
        <f>230.2+8.5</f>
        <v>238.7</v>
      </c>
      <c r="L71" s="2" t="str">
        <f t="shared" si="3"/>
        <v/>
      </c>
      <c r="M71" s="1">
        <v>127</v>
      </c>
    </row>
    <row r="72" spans="1:14" x14ac:dyDescent="0.3">
      <c r="A72" t="s">
        <v>32</v>
      </c>
      <c r="B72" t="str">
        <f t="shared" si="2"/>
        <v>Pinchot_7</v>
      </c>
      <c r="C72" t="s">
        <v>27</v>
      </c>
      <c r="D72">
        <v>7</v>
      </c>
      <c r="E72">
        <v>176</v>
      </c>
      <c r="F72">
        <v>2</v>
      </c>
      <c r="H72" s="1">
        <v>61</v>
      </c>
      <c r="I72" s="3">
        <v>48490</v>
      </c>
      <c r="J72" s="3">
        <v>11270</v>
      </c>
      <c r="K72" s="2">
        <f>238.8+7.3</f>
        <v>246.10000000000002</v>
      </c>
      <c r="L72" s="2">
        <f t="shared" si="3"/>
        <v>14.098703592433866</v>
      </c>
      <c r="N72" s="3">
        <f>216+11</f>
        <v>227</v>
      </c>
    </row>
    <row r="73" spans="1:14" x14ac:dyDescent="0.3">
      <c r="A73" t="s">
        <v>32</v>
      </c>
      <c r="B73" t="str">
        <f t="shared" si="2"/>
        <v>Pinchot_7</v>
      </c>
      <c r="C73" t="s">
        <v>27</v>
      </c>
      <c r="D73">
        <v>7</v>
      </c>
      <c r="E73">
        <v>176</v>
      </c>
      <c r="F73">
        <v>2</v>
      </c>
      <c r="H73" s="1">
        <v>67</v>
      </c>
      <c r="I73" s="3">
        <v>60772</v>
      </c>
      <c r="J73" s="3">
        <v>13177</v>
      </c>
      <c r="K73" s="2">
        <f>260.9+1.4</f>
        <v>262.29999999999995</v>
      </c>
      <c r="L73" s="2">
        <f t="shared" si="3"/>
        <v>14.956026197818904</v>
      </c>
      <c r="M73" s="1">
        <v>146</v>
      </c>
      <c r="N73" s="3">
        <f>213+2</f>
        <v>215</v>
      </c>
    </row>
    <row r="74" spans="1:14" x14ac:dyDescent="0.3">
      <c r="A74" t="s">
        <v>32</v>
      </c>
      <c r="B74" t="str">
        <f t="shared" si="2"/>
        <v>Pinchot_7</v>
      </c>
      <c r="C74" t="s">
        <v>27</v>
      </c>
      <c r="D74">
        <v>7</v>
      </c>
      <c r="E74">
        <v>176</v>
      </c>
      <c r="F74">
        <v>2</v>
      </c>
      <c r="H74" s="1">
        <v>77</v>
      </c>
      <c r="I74" s="3">
        <v>80872</v>
      </c>
      <c r="J74" s="3">
        <v>15901</v>
      </c>
      <c r="K74" s="2">
        <v>286.89999999999998</v>
      </c>
      <c r="L74" s="2">
        <f t="shared" si="3"/>
        <v>16.552018446167178</v>
      </c>
      <c r="M74" s="1">
        <v>163</v>
      </c>
      <c r="N74" s="3">
        <f>192</f>
        <v>192</v>
      </c>
    </row>
    <row r="75" spans="1:14" x14ac:dyDescent="0.3">
      <c r="A75" t="s">
        <v>32</v>
      </c>
      <c r="B75" t="str">
        <f t="shared" si="2"/>
        <v>Pinchot_7</v>
      </c>
      <c r="C75" t="s">
        <v>27</v>
      </c>
      <c r="D75">
        <v>7</v>
      </c>
      <c r="E75">
        <v>176</v>
      </c>
      <c r="F75">
        <v>2</v>
      </c>
      <c r="H75" s="1">
        <v>82</v>
      </c>
      <c r="I75" s="3">
        <v>85339</v>
      </c>
      <c r="J75" s="3">
        <v>15786</v>
      </c>
      <c r="K75" s="2">
        <v>294.39999999999998</v>
      </c>
      <c r="L75" s="2">
        <f t="shared" si="3"/>
        <v>17.413866213542622</v>
      </c>
      <c r="M75" s="1">
        <v>164</v>
      </c>
      <c r="N75" s="3">
        <v>178</v>
      </c>
    </row>
    <row r="76" spans="1:14" x14ac:dyDescent="0.3">
      <c r="A76" t="s">
        <v>32</v>
      </c>
      <c r="B76" t="str">
        <f t="shared" si="2"/>
        <v>Pinchot_9</v>
      </c>
      <c r="C76" t="s">
        <v>27</v>
      </c>
      <c r="D76">
        <v>9</v>
      </c>
      <c r="E76">
        <v>137</v>
      </c>
      <c r="F76">
        <v>3</v>
      </c>
      <c r="H76" s="1">
        <v>58</v>
      </c>
      <c r="I76" s="3">
        <v>22810</v>
      </c>
      <c r="J76" s="3">
        <v>7940</v>
      </c>
      <c r="K76" s="2">
        <v>222.2</v>
      </c>
      <c r="L76" s="2">
        <f t="shared" si="3"/>
        <v>9.8960450544348006</v>
      </c>
      <c r="M76" s="1">
        <v>99</v>
      </c>
      <c r="N76" s="3">
        <f>413+3</f>
        <v>416</v>
      </c>
    </row>
    <row r="77" spans="1:14" x14ac:dyDescent="0.3">
      <c r="A77" t="s">
        <v>32</v>
      </c>
      <c r="B77" t="str">
        <f t="shared" si="2"/>
        <v>Pinchot_9</v>
      </c>
      <c r="C77" t="s">
        <v>27</v>
      </c>
      <c r="D77">
        <v>9</v>
      </c>
      <c r="E77">
        <v>137</v>
      </c>
      <c r="F77">
        <v>3</v>
      </c>
      <c r="H77" s="1">
        <v>62</v>
      </c>
      <c r="I77" s="3">
        <v>27170</v>
      </c>
      <c r="J77" s="3">
        <v>8460</v>
      </c>
      <c r="K77" s="2">
        <v>231.8</v>
      </c>
      <c r="L77" s="2" t="str">
        <f t="shared" si="3"/>
        <v/>
      </c>
      <c r="M77" s="1">
        <v>101</v>
      </c>
    </row>
    <row r="78" spans="1:14" x14ac:dyDescent="0.3">
      <c r="A78" t="s">
        <v>32</v>
      </c>
      <c r="B78" t="str">
        <f t="shared" si="2"/>
        <v>Pinchot_9</v>
      </c>
      <c r="C78" t="s">
        <v>27</v>
      </c>
      <c r="D78">
        <v>9</v>
      </c>
      <c r="E78">
        <v>137</v>
      </c>
      <c r="F78">
        <v>3</v>
      </c>
      <c r="H78" s="1">
        <v>67</v>
      </c>
      <c r="I78" s="3">
        <v>33080</v>
      </c>
      <c r="J78" s="3">
        <v>9460</v>
      </c>
      <c r="K78" s="2">
        <v>237.7</v>
      </c>
      <c r="L78" s="2">
        <f t="shared" si="3"/>
        <v>11.651943673448685</v>
      </c>
      <c r="M78" s="1">
        <v>108</v>
      </c>
      <c r="N78" s="3">
        <f>320+1</f>
        <v>321</v>
      </c>
    </row>
    <row r="79" spans="1:14" x14ac:dyDescent="0.3">
      <c r="A79" t="s">
        <v>32</v>
      </c>
      <c r="B79" t="str">
        <f t="shared" si="2"/>
        <v>Pinchot_9</v>
      </c>
      <c r="C79" t="s">
        <v>27</v>
      </c>
      <c r="D79">
        <v>9</v>
      </c>
      <c r="E79">
        <v>137</v>
      </c>
      <c r="F79">
        <v>3</v>
      </c>
      <c r="H79" s="1">
        <v>73</v>
      </c>
      <c r="I79" s="3">
        <v>38905</v>
      </c>
      <c r="J79" s="3">
        <v>10983</v>
      </c>
      <c r="K79" s="2">
        <f>256.5+0.2</f>
        <v>256.7</v>
      </c>
      <c r="L79" s="2">
        <f t="shared" si="3"/>
        <v>12.504490139461847</v>
      </c>
      <c r="M79" s="1">
        <v>117</v>
      </c>
      <c r="N79" s="3">
        <f>300+1</f>
        <v>301</v>
      </c>
    </row>
    <row r="80" spans="1:14" x14ac:dyDescent="0.3">
      <c r="A80" t="s">
        <v>32</v>
      </c>
      <c r="B80" t="str">
        <f t="shared" si="2"/>
        <v>Pinchot_9</v>
      </c>
      <c r="C80" t="s">
        <v>27</v>
      </c>
      <c r="D80">
        <v>9</v>
      </c>
      <c r="E80">
        <v>137</v>
      </c>
      <c r="F80">
        <v>3</v>
      </c>
      <c r="H80" s="1">
        <v>83</v>
      </c>
      <c r="I80" s="3">
        <v>49956</v>
      </c>
      <c r="J80" s="3">
        <v>12176</v>
      </c>
      <c r="K80" s="2">
        <f>280.5+0.2</f>
        <v>280.7</v>
      </c>
      <c r="L80" s="2">
        <f t="shared" si="3"/>
        <v>13.730178542123467</v>
      </c>
      <c r="M80" s="1">
        <v>124</v>
      </c>
      <c r="N80" s="3">
        <f>272+1</f>
        <v>273</v>
      </c>
    </row>
    <row r="81" spans="1:14" x14ac:dyDescent="0.3">
      <c r="A81" t="s">
        <v>32</v>
      </c>
      <c r="B81" t="str">
        <f t="shared" si="2"/>
        <v>Pinchot_9</v>
      </c>
      <c r="C81" t="s">
        <v>27</v>
      </c>
      <c r="D81">
        <v>9</v>
      </c>
      <c r="E81">
        <v>137</v>
      </c>
      <c r="F81">
        <v>3</v>
      </c>
      <c r="H81" s="1">
        <v>88</v>
      </c>
      <c r="I81" s="3">
        <v>56129</v>
      </c>
      <c r="J81" s="3">
        <v>13001</v>
      </c>
      <c r="K81" s="2">
        <v>289.8</v>
      </c>
      <c r="L81" s="2">
        <f t="shared" si="3"/>
        <v>14.378677095145852</v>
      </c>
      <c r="M81" s="1">
        <v>130</v>
      </c>
      <c r="N81" s="3">
        <f>256+1</f>
        <v>257</v>
      </c>
    </row>
    <row r="82" spans="1:14" x14ac:dyDescent="0.3">
      <c r="A82" t="s">
        <v>32</v>
      </c>
      <c r="B82" t="str">
        <f t="shared" si="2"/>
        <v>Siuslaw_4</v>
      </c>
      <c r="C82" t="s">
        <v>28</v>
      </c>
      <c r="D82">
        <v>4</v>
      </c>
      <c r="E82">
        <v>174</v>
      </c>
      <c r="F82">
        <v>2</v>
      </c>
      <c r="H82" s="1">
        <v>50</v>
      </c>
      <c r="I82" s="3">
        <v>48350</v>
      </c>
      <c r="J82" s="3">
        <v>11980</v>
      </c>
      <c r="K82" s="2">
        <f>292.8+11.9</f>
        <v>304.7</v>
      </c>
      <c r="L82" s="2">
        <f t="shared" si="3"/>
        <v>12.491972389898081</v>
      </c>
      <c r="N82" s="3">
        <f>298+60</f>
        <v>358</v>
      </c>
    </row>
    <row r="83" spans="1:14" x14ac:dyDescent="0.3">
      <c r="A83" t="s">
        <v>32</v>
      </c>
      <c r="B83" t="str">
        <f t="shared" si="2"/>
        <v>Siuslaw_4</v>
      </c>
      <c r="C83" t="s">
        <v>28</v>
      </c>
      <c r="D83">
        <v>4</v>
      </c>
      <c r="E83">
        <v>174</v>
      </c>
      <c r="F83">
        <v>2</v>
      </c>
      <c r="H83" s="1">
        <v>55</v>
      </c>
      <c r="I83" s="3">
        <v>61620</v>
      </c>
      <c r="J83" s="3">
        <v>14150</v>
      </c>
      <c r="K83" s="2">
        <f>329.4+9.1</f>
        <v>338.5</v>
      </c>
      <c r="L83" s="2">
        <f t="shared" si="3"/>
        <v>14.126528301090184</v>
      </c>
      <c r="N83" s="3">
        <f>273+38</f>
        <v>311</v>
      </c>
    </row>
    <row r="84" spans="1:14" x14ac:dyDescent="0.3">
      <c r="A84" t="s">
        <v>32</v>
      </c>
      <c r="B84" t="str">
        <f t="shared" si="2"/>
        <v>Siuslaw_4</v>
      </c>
      <c r="C84" t="s">
        <v>28</v>
      </c>
      <c r="D84">
        <v>4</v>
      </c>
      <c r="E84">
        <v>174</v>
      </c>
      <c r="F84">
        <v>2</v>
      </c>
      <c r="H84" s="1">
        <v>60</v>
      </c>
      <c r="I84" s="3">
        <v>71870</v>
      </c>
      <c r="J84" s="3">
        <v>15520</v>
      </c>
      <c r="K84" s="2">
        <f>346.6+6.7</f>
        <v>353.3</v>
      </c>
      <c r="L84" s="2">
        <f t="shared" si="3"/>
        <v>15.693877066061741</v>
      </c>
      <c r="N84" s="3">
        <f>238+25</f>
        <v>263</v>
      </c>
    </row>
    <row r="85" spans="1:14" x14ac:dyDescent="0.3">
      <c r="A85" t="s">
        <v>32</v>
      </c>
      <c r="B85" t="str">
        <f t="shared" si="2"/>
        <v>Siuslaw_4</v>
      </c>
      <c r="C85" t="s">
        <v>28</v>
      </c>
      <c r="D85">
        <v>4</v>
      </c>
      <c r="E85">
        <v>174</v>
      </c>
      <c r="F85">
        <v>2</v>
      </c>
      <c r="H85" s="1">
        <v>65</v>
      </c>
      <c r="I85" s="3">
        <v>81510</v>
      </c>
      <c r="J85" s="3">
        <v>16890</v>
      </c>
      <c r="K85" s="2">
        <f>364.1+6.5</f>
        <v>370.6</v>
      </c>
      <c r="L85" s="2">
        <f t="shared" si="3"/>
        <v>16.453267122471409</v>
      </c>
      <c r="N85" s="3">
        <f>228+23</f>
        <v>251</v>
      </c>
    </row>
    <row r="86" spans="1:14" x14ac:dyDescent="0.3">
      <c r="A86" t="s">
        <v>32</v>
      </c>
      <c r="B86" t="str">
        <f t="shared" si="2"/>
        <v>Siuslaw_4</v>
      </c>
      <c r="C86" t="s">
        <v>28</v>
      </c>
      <c r="D86">
        <v>4</v>
      </c>
      <c r="E86">
        <v>174</v>
      </c>
      <c r="F86">
        <v>2</v>
      </c>
      <c r="H86" s="1">
        <v>70</v>
      </c>
      <c r="I86" s="3">
        <v>100840</v>
      </c>
      <c r="J86" s="3">
        <v>19435</v>
      </c>
      <c r="K86" s="2">
        <f>392.1+6.9</f>
        <v>399</v>
      </c>
      <c r="L86" s="2">
        <f t="shared" si="3"/>
        <v>17.422650648989084</v>
      </c>
      <c r="N86" s="3">
        <f>218+23</f>
        <v>241</v>
      </c>
    </row>
    <row r="87" spans="1:14" x14ac:dyDescent="0.3">
      <c r="A87" t="s">
        <v>32</v>
      </c>
      <c r="B87" t="str">
        <f t="shared" si="2"/>
        <v>Siuslaw_4</v>
      </c>
      <c r="C87" t="s">
        <v>28</v>
      </c>
      <c r="D87">
        <v>4</v>
      </c>
      <c r="E87">
        <v>174</v>
      </c>
      <c r="F87">
        <v>2</v>
      </c>
      <c r="H87" s="1">
        <v>75</v>
      </c>
      <c r="I87" s="3">
        <v>111110</v>
      </c>
      <c r="J87" s="3">
        <v>21120</v>
      </c>
      <c r="K87" s="2">
        <f>408.4+4.5</f>
        <v>412.9</v>
      </c>
      <c r="L87" s="2">
        <f t="shared" si="3"/>
        <v>19.077746593808847</v>
      </c>
      <c r="N87" s="3">
        <f>198+10</f>
        <v>208</v>
      </c>
    </row>
    <row r="88" spans="1:14" x14ac:dyDescent="0.3">
      <c r="A88" t="s">
        <v>32</v>
      </c>
      <c r="B88" t="str">
        <f t="shared" si="2"/>
        <v>Siuslaw_4</v>
      </c>
      <c r="C88" t="s">
        <v>28</v>
      </c>
      <c r="D88">
        <v>4</v>
      </c>
      <c r="E88">
        <v>174</v>
      </c>
      <c r="F88">
        <v>2</v>
      </c>
      <c r="H88" s="1">
        <v>80</v>
      </c>
      <c r="I88" s="3">
        <v>119726</v>
      </c>
      <c r="J88" s="3">
        <v>22125</v>
      </c>
      <c r="K88" s="2">
        <f>420.5+4.5</f>
        <v>425</v>
      </c>
      <c r="L88" s="2">
        <f t="shared" si="3"/>
        <v>20.251349388107212</v>
      </c>
      <c r="N88" s="3">
        <f>180+10</f>
        <v>190</v>
      </c>
    </row>
    <row r="89" spans="1:14" x14ac:dyDescent="0.3">
      <c r="A89" t="s">
        <v>32</v>
      </c>
      <c r="B89" t="str">
        <f t="shared" si="2"/>
        <v>Siuslaw_4</v>
      </c>
      <c r="C89" t="s">
        <v>28</v>
      </c>
      <c r="D89">
        <v>4</v>
      </c>
      <c r="E89">
        <v>174</v>
      </c>
      <c r="F89">
        <v>2</v>
      </c>
      <c r="H89" s="1">
        <v>95</v>
      </c>
      <c r="I89" s="3">
        <v>134028</v>
      </c>
      <c r="J89" s="3">
        <v>24253</v>
      </c>
      <c r="K89" s="2">
        <f>446.4+4.5</f>
        <v>450.9</v>
      </c>
      <c r="L89" s="2">
        <f t="shared" si="3"/>
        <v>20.859294661498641</v>
      </c>
      <c r="N89" s="3">
        <f>180+10</f>
        <v>190</v>
      </c>
    </row>
    <row r="90" spans="1:14" x14ac:dyDescent="0.3">
      <c r="A90" t="s">
        <v>32</v>
      </c>
      <c r="B90" t="str">
        <f t="shared" si="2"/>
        <v>Siuslaw_4</v>
      </c>
      <c r="C90" t="s">
        <v>28</v>
      </c>
      <c r="D90">
        <v>4</v>
      </c>
      <c r="E90">
        <v>174</v>
      </c>
      <c r="F90">
        <v>2</v>
      </c>
      <c r="H90" s="1">
        <v>90</v>
      </c>
      <c r="I90" s="3">
        <v>143848</v>
      </c>
      <c r="J90" s="3">
        <v>25716</v>
      </c>
      <c r="K90" s="2">
        <f>463.2+5.3</f>
        <v>468.5</v>
      </c>
      <c r="L90" s="2">
        <f t="shared" si="3"/>
        <v>21.665342279954846</v>
      </c>
      <c r="N90" s="3">
        <f>173+10</f>
        <v>183</v>
      </c>
    </row>
    <row r="91" spans="1:14" x14ac:dyDescent="0.3">
      <c r="A91" t="s">
        <v>32</v>
      </c>
      <c r="B91" t="str">
        <f t="shared" si="2"/>
        <v>Siuslaw_5</v>
      </c>
      <c r="C91" t="s">
        <v>28</v>
      </c>
      <c r="D91">
        <v>5</v>
      </c>
      <c r="E91">
        <v>175</v>
      </c>
      <c r="F91">
        <v>2</v>
      </c>
      <c r="H91" s="1">
        <v>50</v>
      </c>
      <c r="I91" s="3">
        <v>26370</v>
      </c>
      <c r="J91" s="3">
        <v>9895</v>
      </c>
      <c r="K91" s="2">
        <v>236.3</v>
      </c>
      <c r="L91" s="2">
        <f t="shared" si="3"/>
        <v>10.649678109018458</v>
      </c>
      <c r="N91" s="3">
        <f>382</f>
        <v>382</v>
      </c>
    </row>
    <row r="92" spans="1:14" x14ac:dyDescent="0.3">
      <c r="A92" t="s">
        <v>32</v>
      </c>
      <c r="B92" t="str">
        <f t="shared" si="2"/>
        <v>Siuslaw_5</v>
      </c>
      <c r="C92" t="s">
        <v>28</v>
      </c>
      <c r="D92">
        <v>5</v>
      </c>
      <c r="E92">
        <v>175</v>
      </c>
      <c r="F92">
        <v>2</v>
      </c>
      <c r="H92" s="1">
        <v>55</v>
      </c>
      <c r="I92" s="3">
        <v>35500</v>
      </c>
      <c r="J92" s="3">
        <v>11180</v>
      </c>
      <c r="K92" s="2">
        <v>255.1</v>
      </c>
      <c r="L92" s="2">
        <f t="shared" si="3"/>
        <v>11.60985494894306</v>
      </c>
      <c r="N92" s="3">
        <v>347</v>
      </c>
    </row>
    <row r="93" spans="1:14" x14ac:dyDescent="0.3">
      <c r="A93" t="s">
        <v>32</v>
      </c>
      <c r="B93" t="str">
        <f t="shared" si="2"/>
        <v>Siuslaw_5</v>
      </c>
      <c r="C93" t="s">
        <v>28</v>
      </c>
      <c r="D93">
        <v>5</v>
      </c>
      <c r="E93">
        <v>175</v>
      </c>
      <c r="F93">
        <v>2</v>
      </c>
      <c r="H93" s="1">
        <v>60</v>
      </c>
      <c r="I93" s="3">
        <v>42290</v>
      </c>
      <c r="J93" s="3">
        <v>11625</v>
      </c>
      <c r="K93" s="2">
        <v>256.3</v>
      </c>
      <c r="L93" s="2">
        <f t="shared" si="3"/>
        <v>12.578602130347965</v>
      </c>
      <c r="N93" s="3">
        <v>297</v>
      </c>
    </row>
    <row r="94" spans="1:14" x14ac:dyDescent="0.3">
      <c r="A94" t="s">
        <v>32</v>
      </c>
      <c r="B94" t="str">
        <f t="shared" si="2"/>
        <v>Siuslaw_5</v>
      </c>
      <c r="C94" t="s">
        <v>28</v>
      </c>
      <c r="D94">
        <v>5</v>
      </c>
      <c r="E94">
        <v>175</v>
      </c>
      <c r="F94">
        <v>2</v>
      </c>
      <c r="H94" s="1">
        <v>65</v>
      </c>
      <c r="I94" s="3">
        <v>47890</v>
      </c>
      <c r="J94" s="3">
        <v>12395</v>
      </c>
      <c r="K94" s="2">
        <v>267</v>
      </c>
      <c r="L94" s="2">
        <f t="shared" si="3"/>
        <v>13.083047434617637</v>
      </c>
      <c r="N94" s="3">
        <v>286</v>
      </c>
    </row>
    <row r="95" spans="1:14" x14ac:dyDescent="0.3">
      <c r="A95" t="s">
        <v>32</v>
      </c>
      <c r="B95" t="str">
        <f t="shared" si="2"/>
        <v>Siuslaw_5</v>
      </c>
      <c r="C95" t="s">
        <v>28</v>
      </c>
      <c r="D95">
        <v>5</v>
      </c>
      <c r="E95">
        <v>175</v>
      </c>
      <c r="F95">
        <v>2</v>
      </c>
      <c r="H95" s="1">
        <v>70</v>
      </c>
      <c r="I95" s="3">
        <v>54940</v>
      </c>
      <c r="J95" s="3">
        <v>13415</v>
      </c>
      <c r="K95" s="2">
        <v>280</v>
      </c>
      <c r="L95" s="2">
        <f t="shared" si="3"/>
        <v>13.84037701420702</v>
      </c>
      <c r="N95" s="3">
        <v>268</v>
      </c>
    </row>
    <row r="96" spans="1:14" x14ac:dyDescent="0.3">
      <c r="A96" t="s">
        <v>32</v>
      </c>
      <c r="B96" t="str">
        <f t="shared" si="2"/>
        <v>Siuslaw_5</v>
      </c>
      <c r="C96" t="s">
        <v>28</v>
      </c>
      <c r="D96">
        <v>5</v>
      </c>
      <c r="E96">
        <v>175</v>
      </c>
      <c r="F96">
        <v>2</v>
      </c>
      <c r="H96" s="1">
        <v>75</v>
      </c>
      <c r="I96" s="3">
        <v>62280</v>
      </c>
      <c r="J96" s="3">
        <v>14110</v>
      </c>
      <c r="K96" s="2">
        <v>281.8</v>
      </c>
      <c r="L96" s="2">
        <f t="shared" si="3"/>
        <v>14.987972178392898</v>
      </c>
      <c r="N96" s="3">
        <v>230</v>
      </c>
    </row>
    <row r="97" spans="1:14" x14ac:dyDescent="0.3">
      <c r="A97" t="s">
        <v>32</v>
      </c>
      <c r="B97" t="str">
        <f t="shared" si="2"/>
        <v>Siuslaw_5</v>
      </c>
      <c r="C97" t="s">
        <v>28</v>
      </c>
      <c r="D97">
        <v>5</v>
      </c>
      <c r="E97">
        <v>175</v>
      </c>
      <c r="F97">
        <v>2</v>
      </c>
      <c r="H97" s="1">
        <v>80</v>
      </c>
      <c r="I97" s="3">
        <v>67283</v>
      </c>
      <c r="J97" s="3">
        <v>14328</v>
      </c>
      <c r="K97" s="2">
        <v>285.60000000000002</v>
      </c>
      <c r="L97" s="2">
        <f t="shared" si="3"/>
        <v>16.100513178643173</v>
      </c>
      <c r="N97" s="3">
        <v>202</v>
      </c>
    </row>
    <row r="98" spans="1:14" x14ac:dyDescent="0.3">
      <c r="A98" t="s">
        <v>32</v>
      </c>
      <c r="B98" t="str">
        <f t="shared" si="2"/>
        <v>Siuslaw_5</v>
      </c>
      <c r="C98" t="s">
        <v>28</v>
      </c>
      <c r="D98">
        <v>5</v>
      </c>
      <c r="E98">
        <v>175</v>
      </c>
      <c r="F98">
        <v>2</v>
      </c>
      <c r="H98" s="1">
        <v>95</v>
      </c>
      <c r="I98" s="3">
        <v>75298</v>
      </c>
      <c r="J98" s="3">
        <v>15474</v>
      </c>
      <c r="K98" s="2">
        <v>288.3</v>
      </c>
      <c r="L98" s="2">
        <f t="shared" si="3"/>
        <v>16.723521043176071</v>
      </c>
      <c r="N98" s="3">
        <v>189</v>
      </c>
    </row>
    <row r="99" spans="1:14" x14ac:dyDescent="0.3">
      <c r="A99" t="s">
        <v>32</v>
      </c>
      <c r="B99" t="str">
        <f t="shared" si="2"/>
        <v>Siuslaw_5</v>
      </c>
      <c r="C99" t="s">
        <v>28</v>
      </c>
      <c r="D99">
        <v>5</v>
      </c>
      <c r="E99">
        <v>175</v>
      </c>
      <c r="F99">
        <v>2</v>
      </c>
      <c r="H99" s="1">
        <v>90</v>
      </c>
      <c r="I99" s="3">
        <v>81013</v>
      </c>
      <c r="J99" s="3">
        <v>16218</v>
      </c>
      <c r="K99" s="2">
        <v>298.10000000000002</v>
      </c>
      <c r="L99" s="2">
        <f t="shared" si="3"/>
        <v>17.188240655862657</v>
      </c>
      <c r="N99" s="3">
        <v>185</v>
      </c>
    </row>
    <row r="100" spans="1:14" x14ac:dyDescent="0.3">
      <c r="A100" t="s">
        <v>32</v>
      </c>
      <c r="B100" t="str">
        <f t="shared" si="2"/>
        <v>Siuslaw_6</v>
      </c>
      <c r="C100" t="s">
        <v>28</v>
      </c>
      <c r="D100">
        <v>6</v>
      </c>
      <c r="E100">
        <v>194</v>
      </c>
      <c r="F100">
        <v>1</v>
      </c>
      <c r="H100" s="1">
        <v>38</v>
      </c>
      <c r="I100" s="3">
        <v>25280</v>
      </c>
      <c r="J100" s="3">
        <v>7060</v>
      </c>
      <c r="K100" s="2">
        <f>187.2+3.8</f>
        <v>191</v>
      </c>
      <c r="L100" s="2">
        <f t="shared" si="3"/>
        <v>12.975416822353953</v>
      </c>
      <c r="N100" s="3">
        <f>199+9</f>
        <v>208</v>
      </c>
    </row>
    <row r="101" spans="1:14" x14ac:dyDescent="0.3">
      <c r="A101" t="s">
        <v>32</v>
      </c>
      <c r="B101" t="str">
        <f t="shared" si="2"/>
        <v>Siuslaw_6</v>
      </c>
      <c r="C101" t="s">
        <v>28</v>
      </c>
      <c r="D101">
        <v>6</v>
      </c>
      <c r="E101">
        <v>194</v>
      </c>
      <c r="F101">
        <v>1</v>
      </c>
      <c r="H101" s="1">
        <v>45</v>
      </c>
      <c r="I101" s="3">
        <v>33760</v>
      </c>
      <c r="J101" s="3">
        <v>8415</v>
      </c>
      <c r="K101" s="2">
        <f>208.2+3.6</f>
        <v>211.79999999999998</v>
      </c>
      <c r="L101" s="2">
        <f t="shared" si="3"/>
        <v>14.372104130082034</v>
      </c>
      <c r="N101" s="3">
        <f>183+5</f>
        <v>188</v>
      </c>
    </row>
    <row r="102" spans="1:14" x14ac:dyDescent="0.3">
      <c r="A102" t="s">
        <v>32</v>
      </c>
      <c r="B102" t="str">
        <f t="shared" si="2"/>
        <v>Siuslaw_6</v>
      </c>
      <c r="C102" t="s">
        <v>28</v>
      </c>
      <c r="D102">
        <v>6</v>
      </c>
      <c r="E102">
        <v>194</v>
      </c>
      <c r="F102">
        <v>1</v>
      </c>
      <c r="H102" s="1">
        <v>48</v>
      </c>
      <c r="L102" s="2" t="str">
        <f t="shared" si="3"/>
        <v/>
      </c>
      <c r="N102" s="3">
        <f>156</f>
        <v>156</v>
      </c>
    </row>
    <row r="103" spans="1:14" x14ac:dyDescent="0.3">
      <c r="A103" t="s">
        <v>32</v>
      </c>
      <c r="B103" t="str">
        <f t="shared" si="2"/>
        <v>Siuslaw_6</v>
      </c>
      <c r="C103" t="s">
        <v>28</v>
      </c>
      <c r="D103">
        <v>6</v>
      </c>
      <c r="E103">
        <v>194</v>
      </c>
      <c r="F103">
        <v>1</v>
      </c>
      <c r="H103" s="1">
        <v>53</v>
      </c>
      <c r="I103" s="3">
        <v>53880</v>
      </c>
      <c r="J103" s="3">
        <v>11225</v>
      </c>
      <c r="K103" s="2">
        <f>241.9+0.6</f>
        <v>242.5</v>
      </c>
      <c r="L103" s="2">
        <f t="shared" si="3"/>
        <v>17.159463280002193</v>
      </c>
      <c r="N103" s="3">
        <f>150+1</f>
        <v>151</v>
      </c>
    </row>
    <row r="104" spans="1:14" x14ac:dyDescent="0.3">
      <c r="A104" t="s">
        <v>32</v>
      </c>
      <c r="B104" t="str">
        <f t="shared" si="2"/>
        <v>Siuslaw_6</v>
      </c>
      <c r="C104" t="s">
        <v>28</v>
      </c>
      <c r="D104">
        <v>6</v>
      </c>
      <c r="E104">
        <v>194</v>
      </c>
      <c r="F104">
        <v>1</v>
      </c>
      <c r="H104" s="1">
        <v>58</v>
      </c>
      <c r="I104" s="3">
        <v>63240</v>
      </c>
      <c r="J104" s="3">
        <v>12655</v>
      </c>
      <c r="K104" s="2">
        <v>259.39999999999998</v>
      </c>
      <c r="L104" s="2">
        <f t="shared" si="3"/>
        <v>18.301096691349034</v>
      </c>
      <c r="N104" s="3">
        <f>142</f>
        <v>142</v>
      </c>
    </row>
    <row r="105" spans="1:14" x14ac:dyDescent="0.3">
      <c r="A105" t="s">
        <v>32</v>
      </c>
      <c r="B105" t="str">
        <f t="shared" si="2"/>
        <v>Siuslaw_6</v>
      </c>
      <c r="C105" t="s">
        <v>28</v>
      </c>
      <c r="D105">
        <v>6</v>
      </c>
      <c r="E105">
        <v>194</v>
      </c>
      <c r="F105">
        <v>1</v>
      </c>
      <c r="H105" s="1">
        <v>63</v>
      </c>
      <c r="I105" s="3">
        <v>73710</v>
      </c>
      <c r="J105" s="3">
        <v>13910</v>
      </c>
      <c r="K105" s="2">
        <v>265.60000000000002</v>
      </c>
      <c r="L105" s="2">
        <f t="shared" si="3"/>
        <v>19.504972952102168</v>
      </c>
      <c r="N105" s="3">
        <v>128</v>
      </c>
    </row>
    <row r="106" spans="1:14" x14ac:dyDescent="0.3">
      <c r="A106" t="s">
        <v>32</v>
      </c>
      <c r="B106" t="str">
        <f t="shared" si="2"/>
        <v>Siuslaw_6</v>
      </c>
      <c r="C106" t="s">
        <v>28</v>
      </c>
      <c r="D106">
        <v>6</v>
      </c>
      <c r="E106">
        <v>194</v>
      </c>
      <c r="F106">
        <v>1</v>
      </c>
      <c r="H106" s="1">
        <v>68</v>
      </c>
      <c r="I106" s="3">
        <v>73024</v>
      </c>
      <c r="J106" s="3">
        <v>13550</v>
      </c>
      <c r="K106" s="2">
        <v>256.39999999999998</v>
      </c>
      <c r="L106" s="2">
        <f t="shared" si="3"/>
        <v>20.76739691200174</v>
      </c>
      <c r="N106" s="3">
        <v>109</v>
      </c>
    </row>
    <row r="107" spans="1:14" x14ac:dyDescent="0.3">
      <c r="A107" t="s">
        <v>32</v>
      </c>
      <c r="B107" t="str">
        <f t="shared" si="2"/>
        <v>Siuslaw_6</v>
      </c>
      <c r="C107" t="s">
        <v>28</v>
      </c>
      <c r="D107">
        <v>6</v>
      </c>
      <c r="E107">
        <v>194</v>
      </c>
      <c r="F107">
        <v>1</v>
      </c>
      <c r="H107" s="1">
        <v>73</v>
      </c>
      <c r="I107" s="3">
        <v>86007</v>
      </c>
      <c r="J107" s="3">
        <v>15278</v>
      </c>
      <c r="K107" s="2">
        <v>270.3</v>
      </c>
      <c r="L107" s="2">
        <f t="shared" si="3"/>
        <v>21.829443034495988</v>
      </c>
      <c r="N107" s="3">
        <v>104</v>
      </c>
    </row>
    <row r="108" spans="1:14" x14ac:dyDescent="0.3">
      <c r="A108" t="s">
        <v>32</v>
      </c>
      <c r="B108" t="str">
        <f t="shared" si="2"/>
        <v>Siuslaw_6</v>
      </c>
      <c r="C108" t="s">
        <v>28</v>
      </c>
      <c r="D108">
        <v>6</v>
      </c>
      <c r="E108">
        <v>194</v>
      </c>
      <c r="F108">
        <v>1</v>
      </c>
      <c r="H108" s="1">
        <v>78</v>
      </c>
      <c r="I108" s="3">
        <v>90310</v>
      </c>
      <c r="J108" s="3">
        <v>15762</v>
      </c>
      <c r="K108" s="2">
        <v>274.8</v>
      </c>
      <c r="L108" s="2">
        <f t="shared" si="3"/>
        <v>22.674181996847768</v>
      </c>
      <c r="N108" s="3">
        <v>98</v>
      </c>
    </row>
    <row r="109" spans="1:14" x14ac:dyDescent="0.3">
      <c r="A109" t="s">
        <v>32</v>
      </c>
      <c r="B109" t="str">
        <f t="shared" si="2"/>
        <v>Siuslaw_7</v>
      </c>
      <c r="C109" t="s">
        <v>28</v>
      </c>
      <c r="D109">
        <v>7</v>
      </c>
      <c r="E109">
        <v>196</v>
      </c>
      <c r="F109">
        <v>1</v>
      </c>
      <c r="H109" s="1">
        <v>38</v>
      </c>
      <c r="I109" s="3">
        <v>14440</v>
      </c>
      <c r="J109" s="3">
        <v>5445</v>
      </c>
      <c r="K109" s="2">
        <f>151+5.7</f>
        <v>156.69999999999999</v>
      </c>
      <c r="L109" s="2">
        <f t="shared" si="3"/>
        <v>10.785053989048027</v>
      </c>
      <c r="N109" s="3">
        <f>236+11</f>
        <v>247</v>
      </c>
    </row>
    <row r="110" spans="1:14" x14ac:dyDescent="0.3">
      <c r="A110" t="s">
        <v>32</v>
      </c>
      <c r="B110" t="str">
        <f t="shared" si="2"/>
        <v>Siuslaw_7</v>
      </c>
      <c r="C110" t="s">
        <v>28</v>
      </c>
      <c r="D110">
        <v>7</v>
      </c>
      <c r="E110">
        <v>196</v>
      </c>
      <c r="F110">
        <v>1</v>
      </c>
      <c r="H110" s="1">
        <v>45</v>
      </c>
      <c r="I110" s="3">
        <v>22120</v>
      </c>
      <c r="J110" s="3">
        <v>6270</v>
      </c>
      <c r="K110" s="2">
        <f>156.2+9.2</f>
        <v>165.39999999999998</v>
      </c>
      <c r="L110" s="2">
        <f t="shared" si="3"/>
        <v>13.163913810995149</v>
      </c>
      <c r="N110" s="3">
        <f>161+14</f>
        <v>175</v>
      </c>
    </row>
    <row r="111" spans="1:14" x14ac:dyDescent="0.3">
      <c r="A111" t="s">
        <v>32</v>
      </c>
      <c r="B111" t="str">
        <f t="shared" si="2"/>
        <v>Siuslaw_7</v>
      </c>
      <c r="C111" t="s">
        <v>28</v>
      </c>
      <c r="D111">
        <v>7</v>
      </c>
      <c r="E111">
        <v>196</v>
      </c>
      <c r="F111">
        <v>1</v>
      </c>
      <c r="H111" s="1">
        <v>48</v>
      </c>
      <c r="L111" s="2" t="str">
        <f t="shared" si="3"/>
        <v/>
      </c>
      <c r="N111" s="3">
        <v>138</v>
      </c>
    </row>
    <row r="112" spans="1:14" x14ac:dyDescent="0.3">
      <c r="A112" t="s">
        <v>32</v>
      </c>
      <c r="B112" t="str">
        <f t="shared" si="2"/>
        <v>Siuslaw_7</v>
      </c>
      <c r="C112" t="s">
        <v>28</v>
      </c>
      <c r="D112">
        <v>7</v>
      </c>
      <c r="E112">
        <v>196</v>
      </c>
      <c r="F112">
        <v>1</v>
      </c>
      <c r="H112" s="1">
        <v>53</v>
      </c>
      <c r="I112" s="3">
        <v>39880</v>
      </c>
      <c r="J112" s="3">
        <v>8805</v>
      </c>
      <c r="K112" s="2">
        <f>190.4+4.5</f>
        <v>194.9</v>
      </c>
      <c r="L112" s="2">
        <f t="shared" si="3"/>
        <v>16.150349975490986</v>
      </c>
      <c r="N112" s="3">
        <f>132+5</f>
        <v>137</v>
      </c>
    </row>
    <row r="113" spans="1:14" x14ac:dyDescent="0.3">
      <c r="A113" t="s">
        <v>32</v>
      </c>
      <c r="B113" t="str">
        <f t="shared" si="2"/>
        <v>Siuslaw_7</v>
      </c>
      <c r="C113" t="s">
        <v>28</v>
      </c>
      <c r="D113">
        <v>7</v>
      </c>
      <c r="E113">
        <v>196</v>
      </c>
      <c r="F113">
        <v>1</v>
      </c>
      <c r="H113" s="1">
        <v>58</v>
      </c>
      <c r="I113" s="3">
        <v>49070</v>
      </c>
      <c r="J113" s="3">
        <v>9960</v>
      </c>
      <c r="K113" s="2">
        <f>205.4+4.5</f>
        <v>209.9</v>
      </c>
      <c r="L113" s="2">
        <f t="shared" si="3"/>
        <v>17.546379356624751</v>
      </c>
      <c r="N113" s="3">
        <f>120+5</f>
        <v>125</v>
      </c>
    </row>
    <row r="114" spans="1:14" x14ac:dyDescent="0.3">
      <c r="A114" t="s">
        <v>32</v>
      </c>
      <c r="B114" t="str">
        <f t="shared" si="2"/>
        <v>Siuslaw_7</v>
      </c>
      <c r="C114" t="s">
        <v>28</v>
      </c>
      <c r="D114">
        <v>7</v>
      </c>
      <c r="E114">
        <v>196</v>
      </c>
      <c r="F114">
        <v>1</v>
      </c>
      <c r="H114" s="1">
        <v>63</v>
      </c>
      <c r="I114" s="3">
        <v>59690</v>
      </c>
      <c r="J114" s="3">
        <v>11455</v>
      </c>
      <c r="K114" s="2">
        <f>219.2+2</f>
        <v>221.2</v>
      </c>
      <c r="L114" s="2">
        <f t="shared" si="3"/>
        <v>18.944783277971524</v>
      </c>
      <c r="N114" s="3">
        <f>111+2</f>
        <v>113</v>
      </c>
    </row>
    <row r="115" spans="1:14" x14ac:dyDescent="0.3">
      <c r="A115" t="s">
        <v>32</v>
      </c>
      <c r="B115" t="str">
        <f t="shared" si="2"/>
        <v>Siuslaw_7</v>
      </c>
      <c r="C115" t="s">
        <v>28</v>
      </c>
      <c r="D115">
        <v>7</v>
      </c>
      <c r="E115">
        <v>196</v>
      </c>
      <c r="F115">
        <v>1</v>
      </c>
      <c r="H115" s="1">
        <v>68</v>
      </c>
      <c r="I115" s="3">
        <v>57793</v>
      </c>
      <c r="J115" s="3">
        <v>10587</v>
      </c>
      <c r="K115" s="2">
        <f>199.4+1.9</f>
        <v>201.3</v>
      </c>
      <c r="L115" s="2">
        <f t="shared" si="3"/>
        <v>21.345959440399174</v>
      </c>
      <c r="N115" s="3">
        <f>79+2</f>
        <v>81</v>
      </c>
    </row>
    <row r="116" spans="1:14" x14ac:dyDescent="0.3">
      <c r="A116" t="s">
        <v>32</v>
      </c>
      <c r="B116" t="str">
        <f t="shared" si="2"/>
        <v>Siuslaw_7</v>
      </c>
      <c r="C116" t="s">
        <v>28</v>
      </c>
      <c r="D116">
        <v>7</v>
      </c>
      <c r="E116">
        <v>196</v>
      </c>
      <c r="F116">
        <v>1</v>
      </c>
      <c r="H116" s="1">
        <v>73</v>
      </c>
      <c r="I116" s="3">
        <v>67925</v>
      </c>
      <c r="J116" s="3">
        <v>12367</v>
      </c>
      <c r="K116" s="2">
        <f>217.1+1.8</f>
        <v>218.9</v>
      </c>
      <c r="L116" s="2">
        <f t="shared" si="3"/>
        <v>22.539570545402324</v>
      </c>
      <c r="N116" s="3">
        <f>77+2</f>
        <v>79</v>
      </c>
    </row>
    <row r="117" spans="1:14" x14ac:dyDescent="0.3">
      <c r="A117" t="s">
        <v>32</v>
      </c>
      <c r="B117" t="str">
        <f t="shared" si="2"/>
        <v>Siuslaw_7</v>
      </c>
      <c r="C117" t="s">
        <v>28</v>
      </c>
      <c r="D117">
        <v>7</v>
      </c>
      <c r="E117">
        <v>196</v>
      </c>
      <c r="F117">
        <v>1</v>
      </c>
      <c r="H117" s="1">
        <v>78</v>
      </c>
      <c r="I117" s="3">
        <v>76303</v>
      </c>
      <c r="J117" s="3">
        <v>13163</v>
      </c>
      <c r="K117" s="2">
        <v>227.6</v>
      </c>
      <c r="L117" s="2">
        <f t="shared" si="3"/>
        <v>23.588036929870803</v>
      </c>
      <c r="N117" s="3">
        <f>75</f>
        <v>75</v>
      </c>
    </row>
    <row r="118" spans="1:14" x14ac:dyDescent="0.3">
      <c r="A118" t="s">
        <v>32</v>
      </c>
      <c r="B118" t="str">
        <f t="shared" si="2"/>
        <v>Siuslaw_8</v>
      </c>
      <c r="C118" t="s">
        <v>28</v>
      </c>
      <c r="D118">
        <v>8</v>
      </c>
      <c r="E118">
        <v>178</v>
      </c>
      <c r="F118">
        <v>2</v>
      </c>
      <c r="H118" s="1">
        <v>53</v>
      </c>
      <c r="I118" s="3">
        <v>44400</v>
      </c>
      <c r="J118" s="3">
        <v>10985</v>
      </c>
      <c r="K118" s="2">
        <v>244.8</v>
      </c>
      <c r="L118" s="2">
        <f t="shared" si="3"/>
        <v>13.849499531080751</v>
      </c>
      <c r="N118" s="3">
        <v>234</v>
      </c>
    </row>
    <row r="119" spans="1:14" x14ac:dyDescent="0.3">
      <c r="A119" t="s">
        <v>32</v>
      </c>
      <c r="B119" t="str">
        <f t="shared" si="2"/>
        <v>Siuslaw_8</v>
      </c>
      <c r="C119" t="s">
        <v>28</v>
      </c>
      <c r="D119">
        <v>8</v>
      </c>
      <c r="E119">
        <v>178</v>
      </c>
      <c r="F119">
        <v>2</v>
      </c>
      <c r="H119" s="1">
        <v>58</v>
      </c>
      <c r="I119" s="3">
        <v>53320</v>
      </c>
      <c r="J119" s="3">
        <v>12480</v>
      </c>
      <c r="K119" s="2">
        <v>266.39999999999998</v>
      </c>
      <c r="L119" s="2">
        <f t="shared" si="3"/>
        <v>14.63645792514667</v>
      </c>
      <c r="N119" s="3">
        <v>228</v>
      </c>
    </row>
    <row r="120" spans="1:14" x14ac:dyDescent="0.3">
      <c r="A120" t="s">
        <v>32</v>
      </c>
      <c r="B120" t="str">
        <f t="shared" si="2"/>
        <v>Siuslaw_8</v>
      </c>
      <c r="C120" t="s">
        <v>28</v>
      </c>
      <c r="D120">
        <v>8</v>
      </c>
      <c r="E120">
        <v>178</v>
      </c>
      <c r="F120">
        <v>2</v>
      </c>
      <c r="H120" s="1">
        <v>63</v>
      </c>
      <c r="I120" s="3">
        <v>58810</v>
      </c>
      <c r="J120" s="3">
        <v>12760</v>
      </c>
      <c r="K120" s="2">
        <v>265.60000000000002</v>
      </c>
      <c r="L120" s="2">
        <f t="shared" si="3"/>
        <v>15.967379728842783</v>
      </c>
      <c r="N120" s="3">
        <v>191</v>
      </c>
    </row>
    <row r="121" spans="1:14" x14ac:dyDescent="0.3">
      <c r="A121" t="s">
        <v>32</v>
      </c>
      <c r="B121" t="str">
        <f t="shared" si="2"/>
        <v>Siuslaw_8</v>
      </c>
      <c r="C121" t="s">
        <v>28</v>
      </c>
      <c r="D121">
        <v>8</v>
      </c>
      <c r="E121">
        <v>178</v>
      </c>
      <c r="F121">
        <v>2</v>
      </c>
      <c r="H121" s="1">
        <v>68</v>
      </c>
      <c r="I121" s="3">
        <v>66047</v>
      </c>
      <c r="J121" s="3">
        <v>13493</v>
      </c>
      <c r="K121" s="2">
        <v>273.3</v>
      </c>
      <c r="L121" s="2">
        <f t="shared" si="3"/>
        <v>17.27036343382504</v>
      </c>
      <c r="N121" s="3">
        <v>168</v>
      </c>
    </row>
    <row r="122" spans="1:14" x14ac:dyDescent="0.3">
      <c r="A122" t="s">
        <v>32</v>
      </c>
      <c r="B122" t="str">
        <f t="shared" si="2"/>
        <v>Siuslaw_8</v>
      </c>
      <c r="C122" t="s">
        <v>28</v>
      </c>
      <c r="D122">
        <v>8</v>
      </c>
      <c r="E122">
        <v>178</v>
      </c>
      <c r="F122">
        <v>2</v>
      </c>
      <c r="H122" s="1">
        <v>73</v>
      </c>
      <c r="I122" s="3">
        <v>70970</v>
      </c>
      <c r="J122" s="3">
        <v>14030</v>
      </c>
      <c r="K122" s="2">
        <v>281.8</v>
      </c>
      <c r="L122" s="2">
        <f t="shared" si="3"/>
        <v>18.376427303005404</v>
      </c>
      <c r="N122" s="3">
        <v>153</v>
      </c>
    </row>
    <row r="123" spans="1:14" x14ac:dyDescent="0.3">
      <c r="A123" t="s">
        <v>32</v>
      </c>
      <c r="B123" t="str">
        <f t="shared" si="2"/>
        <v>Siuslaw_8</v>
      </c>
      <c r="C123" t="s">
        <v>28</v>
      </c>
      <c r="D123">
        <v>8</v>
      </c>
      <c r="E123">
        <v>178</v>
      </c>
      <c r="F123">
        <v>2</v>
      </c>
      <c r="H123" s="1">
        <v>78</v>
      </c>
      <c r="I123" s="3">
        <v>76875</v>
      </c>
      <c r="J123" s="3">
        <v>14882</v>
      </c>
      <c r="K123" s="2">
        <v>293.5</v>
      </c>
      <c r="L123" s="2">
        <f t="shared" si="3"/>
        <v>19.132939018290898</v>
      </c>
      <c r="N123" s="3">
        <v>147</v>
      </c>
    </row>
    <row r="124" spans="1:14" x14ac:dyDescent="0.3">
      <c r="A124" t="s">
        <v>32</v>
      </c>
      <c r="B124" t="str">
        <f t="shared" si="2"/>
        <v>Siuslaw_9</v>
      </c>
      <c r="C124" t="s">
        <v>28</v>
      </c>
      <c r="D124">
        <v>9</v>
      </c>
      <c r="E124">
        <v>198</v>
      </c>
      <c r="F124">
        <v>1</v>
      </c>
      <c r="H124" s="1">
        <v>74</v>
      </c>
      <c r="I124" s="3">
        <v>91620</v>
      </c>
      <c r="J124" s="3">
        <v>16340</v>
      </c>
      <c r="K124" s="2">
        <v>286.39999999999998</v>
      </c>
      <c r="L124" s="2">
        <f t="shared" si="3"/>
        <v>21.185068755309981</v>
      </c>
      <c r="N124" s="3">
        <v>117</v>
      </c>
    </row>
    <row r="125" spans="1:14" x14ac:dyDescent="0.3">
      <c r="A125" t="s">
        <v>32</v>
      </c>
      <c r="B125" t="str">
        <f t="shared" si="2"/>
        <v>Siuslaw_9</v>
      </c>
      <c r="C125" t="s">
        <v>28</v>
      </c>
      <c r="D125">
        <v>9</v>
      </c>
      <c r="E125">
        <v>198</v>
      </c>
      <c r="F125">
        <v>1</v>
      </c>
      <c r="H125" s="1">
        <v>79</v>
      </c>
      <c r="I125" s="3">
        <v>92100</v>
      </c>
      <c r="J125" s="3">
        <v>16025</v>
      </c>
      <c r="K125" s="2">
        <v>273.5</v>
      </c>
      <c r="L125" s="2">
        <f t="shared" si="3"/>
        <v>22.172511117751572</v>
      </c>
      <c r="N125" s="3">
        <v>102</v>
      </c>
    </row>
    <row r="126" spans="1:14" x14ac:dyDescent="0.3">
      <c r="A126" t="s">
        <v>32</v>
      </c>
      <c r="B126" t="str">
        <f t="shared" si="2"/>
        <v>Siuslaw_9</v>
      </c>
      <c r="C126" t="s">
        <v>28</v>
      </c>
      <c r="D126">
        <v>9</v>
      </c>
      <c r="E126">
        <v>198</v>
      </c>
      <c r="F126">
        <v>1</v>
      </c>
      <c r="H126" s="1">
        <v>84</v>
      </c>
      <c r="I126" s="3">
        <v>98090</v>
      </c>
      <c r="J126" s="3">
        <v>16370</v>
      </c>
      <c r="K126" s="2">
        <v>266</v>
      </c>
      <c r="L126" s="2">
        <f t="shared" si="3"/>
        <v>23.813755732370389</v>
      </c>
      <c r="N126" s="3">
        <v>86</v>
      </c>
    </row>
    <row r="127" spans="1:14" x14ac:dyDescent="0.3">
      <c r="A127" t="s">
        <v>32</v>
      </c>
      <c r="B127" t="str">
        <f t="shared" si="2"/>
        <v>Siuslaw_9</v>
      </c>
      <c r="C127" t="s">
        <v>28</v>
      </c>
      <c r="D127">
        <v>9</v>
      </c>
      <c r="E127">
        <v>198</v>
      </c>
      <c r="F127">
        <v>1</v>
      </c>
      <c r="H127" s="1">
        <v>89</v>
      </c>
      <c r="I127" s="3">
        <v>69346</v>
      </c>
      <c r="J127" s="3">
        <v>11452</v>
      </c>
      <c r="K127" s="2">
        <v>185</v>
      </c>
      <c r="L127" s="2">
        <f t="shared" si="3"/>
        <v>25.297886005899429</v>
      </c>
      <c r="N127" s="3">
        <v>53</v>
      </c>
    </row>
    <row r="128" spans="1:14" x14ac:dyDescent="0.3">
      <c r="A128" t="s">
        <v>32</v>
      </c>
      <c r="B128" t="str">
        <f t="shared" si="2"/>
        <v>Siuslaw_9</v>
      </c>
      <c r="C128" t="s">
        <v>28</v>
      </c>
      <c r="D128">
        <v>9</v>
      </c>
      <c r="E128">
        <v>198</v>
      </c>
      <c r="F128">
        <v>1</v>
      </c>
      <c r="H128" s="1">
        <v>94</v>
      </c>
      <c r="I128" s="3">
        <v>74514</v>
      </c>
      <c r="J128" s="3">
        <v>12075</v>
      </c>
      <c r="K128" s="2">
        <v>191.8</v>
      </c>
      <c r="L128" s="2">
        <f t="shared" si="3"/>
        <v>26.520127099874806</v>
      </c>
      <c r="N128" s="3">
        <v>50</v>
      </c>
    </row>
    <row r="129" spans="1:14" x14ac:dyDescent="0.3">
      <c r="A129" t="s">
        <v>32</v>
      </c>
      <c r="B129" t="str">
        <f t="shared" si="2"/>
        <v>Siuslaw_9</v>
      </c>
      <c r="C129" t="s">
        <v>28</v>
      </c>
      <c r="D129">
        <v>9</v>
      </c>
      <c r="E129">
        <v>198</v>
      </c>
      <c r="F129">
        <v>1</v>
      </c>
      <c r="H129" s="1">
        <v>99</v>
      </c>
      <c r="I129" s="3">
        <v>78679</v>
      </c>
      <c r="J129" s="3">
        <v>12620</v>
      </c>
      <c r="K129" s="2">
        <v>197.4</v>
      </c>
      <c r="L129" s="2">
        <f t="shared" si="3"/>
        <v>27.459287068189315</v>
      </c>
      <c r="N129" s="3">
        <v>48</v>
      </c>
    </row>
    <row r="130" spans="1:14" x14ac:dyDescent="0.3">
      <c r="A130" t="s">
        <v>32</v>
      </c>
      <c r="B130" t="str">
        <f t="shared" si="2"/>
        <v>Siuslaw_10</v>
      </c>
      <c r="C130" t="s">
        <v>28</v>
      </c>
      <c r="D130">
        <v>10</v>
      </c>
      <c r="E130">
        <v>205</v>
      </c>
      <c r="F130">
        <v>1</v>
      </c>
      <c r="H130" s="1">
        <v>67</v>
      </c>
      <c r="I130" s="3">
        <v>84740</v>
      </c>
      <c r="J130" s="3">
        <v>15305</v>
      </c>
      <c r="K130" s="2">
        <v>270</v>
      </c>
      <c r="L130" s="2">
        <f t="shared" si="3"/>
        <v>19.821335447650846</v>
      </c>
      <c r="N130" s="3">
        <v>126</v>
      </c>
    </row>
    <row r="131" spans="1:14" x14ac:dyDescent="0.3">
      <c r="A131" t="s">
        <v>32</v>
      </c>
      <c r="B131" t="str">
        <f t="shared" ref="B131:B194" si="4">C131&amp;"_"&amp;D131</f>
        <v>Siuslaw_10</v>
      </c>
      <c r="C131" t="s">
        <v>28</v>
      </c>
      <c r="D131">
        <v>10</v>
      </c>
      <c r="E131">
        <v>205</v>
      </c>
      <c r="F131">
        <v>1</v>
      </c>
      <c r="H131" s="1">
        <v>72</v>
      </c>
      <c r="I131" s="3">
        <v>90040</v>
      </c>
      <c r="J131" s="3">
        <v>15580</v>
      </c>
      <c r="K131" s="2">
        <v>258</v>
      </c>
      <c r="L131" s="2">
        <f t="shared" ref="L131:L194" si="5">IF(NOT(OR(ISBLANK(N131),ISBLANK(K131))),SQRT((K131/N131)/0.005454154),"")</f>
        <v>21.12482997742617</v>
      </c>
      <c r="N131" s="3">
        <v>106</v>
      </c>
    </row>
    <row r="132" spans="1:14" x14ac:dyDescent="0.3">
      <c r="A132" t="s">
        <v>32</v>
      </c>
      <c r="B132" t="str">
        <f t="shared" si="4"/>
        <v>Siuslaw_10</v>
      </c>
      <c r="C132" t="s">
        <v>28</v>
      </c>
      <c r="D132">
        <v>10</v>
      </c>
      <c r="E132">
        <v>205</v>
      </c>
      <c r="F132">
        <v>1</v>
      </c>
      <c r="H132" s="1">
        <v>77</v>
      </c>
      <c r="I132" s="3">
        <v>87610</v>
      </c>
      <c r="J132" s="3">
        <v>14860</v>
      </c>
      <c r="K132" s="2">
        <v>245.1</v>
      </c>
      <c r="L132" s="2">
        <f t="shared" si="5"/>
        <v>22.727325460881122</v>
      </c>
      <c r="N132" s="3">
        <v>87</v>
      </c>
    </row>
    <row r="133" spans="1:14" x14ac:dyDescent="0.3">
      <c r="A133" t="s">
        <v>32</v>
      </c>
      <c r="B133" t="str">
        <f t="shared" si="4"/>
        <v>Siuslaw_10</v>
      </c>
      <c r="C133" t="s">
        <v>28</v>
      </c>
      <c r="D133">
        <v>10</v>
      </c>
      <c r="E133">
        <v>205</v>
      </c>
      <c r="F133">
        <v>1</v>
      </c>
      <c r="H133" s="1">
        <v>82</v>
      </c>
      <c r="I133" s="3">
        <v>67448</v>
      </c>
      <c r="J133" s="3">
        <v>11130</v>
      </c>
      <c r="K133" s="2">
        <v>177.2</v>
      </c>
      <c r="L133" s="2">
        <f t="shared" si="5"/>
        <v>24.995768216369974</v>
      </c>
      <c r="N133" s="3">
        <v>52</v>
      </c>
    </row>
    <row r="134" spans="1:14" x14ac:dyDescent="0.3">
      <c r="A134" t="s">
        <v>32</v>
      </c>
      <c r="B134" t="str">
        <f t="shared" si="4"/>
        <v>Siuslaw_10</v>
      </c>
      <c r="C134" t="s">
        <v>28</v>
      </c>
      <c r="D134">
        <v>10</v>
      </c>
      <c r="E134">
        <v>205</v>
      </c>
      <c r="F134">
        <v>1</v>
      </c>
      <c r="H134" s="1">
        <v>87</v>
      </c>
      <c r="I134" s="3">
        <v>74991</v>
      </c>
      <c r="J134" s="3">
        <v>12099</v>
      </c>
      <c r="K134" s="2">
        <v>189.9</v>
      </c>
      <c r="L134" s="2">
        <f t="shared" si="5"/>
        <v>25.875998210335155</v>
      </c>
      <c r="N134" s="3">
        <v>52</v>
      </c>
    </row>
    <row r="135" spans="1:14" x14ac:dyDescent="0.3">
      <c r="A135" t="s">
        <v>32</v>
      </c>
      <c r="B135" t="str">
        <f t="shared" si="4"/>
        <v>Siuslaw_10</v>
      </c>
      <c r="C135" t="s">
        <v>28</v>
      </c>
      <c r="D135">
        <v>10</v>
      </c>
      <c r="E135">
        <v>205</v>
      </c>
      <c r="F135">
        <v>1</v>
      </c>
      <c r="H135" s="1">
        <v>92</v>
      </c>
      <c r="I135" s="3">
        <v>80072</v>
      </c>
      <c r="J135" s="3">
        <v>12831</v>
      </c>
      <c r="K135" s="2">
        <v>199</v>
      </c>
      <c r="L135" s="2">
        <f t="shared" si="5"/>
        <v>26.747164705329336</v>
      </c>
      <c r="N135" s="3">
        <v>51</v>
      </c>
    </row>
    <row r="136" spans="1:14" x14ac:dyDescent="0.3">
      <c r="A136" t="s">
        <v>32</v>
      </c>
      <c r="B136" t="str">
        <f t="shared" si="4"/>
        <v>Snoqualmie_1</v>
      </c>
      <c r="C136" t="s">
        <v>29</v>
      </c>
      <c r="D136">
        <v>1</v>
      </c>
      <c r="E136">
        <v>141</v>
      </c>
      <c r="F136">
        <v>3</v>
      </c>
      <c r="H136" s="1">
        <v>42</v>
      </c>
      <c r="I136" s="3">
        <v>13890</v>
      </c>
      <c r="J136" s="3">
        <v>5140</v>
      </c>
      <c r="K136" s="2">
        <f>187.2+2.2</f>
        <v>189.39999999999998</v>
      </c>
      <c r="L136" s="2">
        <f t="shared" si="5"/>
        <v>9.3881101889024841</v>
      </c>
      <c r="M136" s="1">
        <v>81</v>
      </c>
      <c r="N136" s="3">
        <f>388+6</f>
        <v>394</v>
      </c>
    </row>
    <row r="137" spans="1:14" x14ac:dyDescent="0.3">
      <c r="A137" t="s">
        <v>32</v>
      </c>
      <c r="B137" t="str">
        <f t="shared" si="4"/>
        <v>Snoqualmie_1</v>
      </c>
      <c r="C137" t="s">
        <v>29</v>
      </c>
      <c r="D137">
        <v>1</v>
      </c>
      <c r="E137">
        <v>141</v>
      </c>
      <c r="F137">
        <v>3</v>
      </c>
      <c r="H137" s="1">
        <v>46</v>
      </c>
      <c r="I137" s="3">
        <v>18490</v>
      </c>
      <c r="J137" s="3">
        <v>6200</v>
      </c>
      <c r="K137" s="2">
        <f>205.4+2.2</f>
        <v>207.6</v>
      </c>
      <c r="L137" s="2">
        <f t="shared" si="5"/>
        <v>10.008250758798134</v>
      </c>
      <c r="M137" s="1">
        <v>85</v>
      </c>
      <c r="N137" s="3">
        <f>374+6</f>
        <v>380</v>
      </c>
    </row>
    <row r="138" spans="1:14" x14ac:dyDescent="0.3">
      <c r="A138" t="s">
        <v>32</v>
      </c>
      <c r="B138" t="str">
        <f t="shared" si="4"/>
        <v>Snoqualmie_1</v>
      </c>
      <c r="C138" t="s">
        <v>29</v>
      </c>
      <c r="D138">
        <v>1</v>
      </c>
      <c r="E138">
        <v>141</v>
      </c>
      <c r="F138">
        <v>3</v>
      </c>
      <c r="H138" s="1">
        <v>51</v>
      </c>
      <c r="I138" s="3">
        <v>26130</v>
      </c>
      <c r="J138" s="3">
        <v>7420</v>
      </c>
      <c r="K138" s="2">
        <f>218.2+2</f>
        <v>220.2</v>
      </c>
      <c r="L138" s="2">
        <f t="shared" si="5"/>
        <v>11.600703632146931</v>
      </c>
      <c r="M138" s="1">
        <v>97</v>
      </c>
      <c r="N138" s="3">
        <f>296+4</f>
        <v>300</v>
      </c>
    </row>
    <row r="139" spans="1:14" x14ac:dyDescent="0.3">
      <c r="A139" t="s">
        <v>32</v>
      </c>
      <c r="B139" t="str">
        <f t="shared" si="4"/>
        <v>Snoqualmie_1</v>
      </c>
      <c r="C139" t="s">
        <v>29</v>
      </c>
      <c r="D139">
        <v>1</v>
      </c>
      <c r="E139">
        <v>141</v>
      </c>
      <c r="F139">
        <v>3</v>
      </c>
      <c r="H139" s="1">
        <v>57</v>
      </c>
      <c r="I139" s="3">
        <v>35260</v>
      </c>
      <c r="J139" s="3">
        <v>8850</v>
      </c>
      <c r="K139" s="2">
        <f>238.7+1.8</f>
        <v>240.5</v>
      </c>
      <c r="L139" s="2">
        <f t="shared" si="5"/>
        <v>12.416832586796433</v>
      </c>
      <c r="M139" s="1">
        <v>108</v>
      </c>
      <c r="N139" s="3">
        <f>284+2</f>
        <v>286</v>
      </c>
    </row>
    <row r="140" spans="1:14" x14ac:dyDescent="0.3">
      <c r="A140" t="s">
        <v>32</v>
      </c>
      <c r="B140" t="str">
        <f t="shared" si="4"/>
        <v>Snoqualmie_1</v>
      </c>
      <c r="C140" t="s">
        <v>29</v>
      </c>
      <c r="D140">
        <v>1</v>
      </c>
      <c r="E140">
        <v>141</v>
      </c>
      <c r="F140">
        <v>3</v>
      </c>
      <c r="H140" s="1">
        <v>67</v>
      </c>
      <c r="I140" s="3">
        <v>41678</v>
      </c>
      <c r="J140" s="3">
        <v>9986</v>
      </c>
      <c r="K140" s="2">
        <f>251.1+1.8</f>
        <v>252.9</v>
      </c>
      <c r="L140" s="2">
        <f t="shared" si="5"/>
        <v>13.78528671879319</v>
      </c>
      <c r="M140" s="1">
        <v>118</v>
      </c>
      <c r="N140" s="3">
        <f>242+2</f>
        <v>244</v>
      </c>
    </row>
    <row r="141" spans="1:14" x14ac:dyDescent="0.3">
      <c r="A141" t="s">
        <v>32</v>
      </c>
      <c r="B141" t="str">
        <f t="shared" si="4"/>
        <v>Snoqualmie_1</v>
      </c>
      <c r="C141" t="s">
        <v>29</v>
      </c>
      <c r="D141">
        <v>1</v>
      </c>
      <c r="E141">
        <v>141</v>
      </c>
      <c r="F141">
        <v>3</v>
      </c>
      <c r="H141" s="1">
        <v>72</v>
      </c>
      <c r="I141" s="3">
        <v>48482</v>
      </c>
      <c r="J141" s="3">
        <v>10928</v>
      </c>
      <c r="K141" s="2">
        <f>261.5+1.8</f>
        <v>263.3</v>
      </c>
      <c r="L141" s="2">
        <f t="shared" si="5"/>
        <v>14.42506367820712</v>
      </c>
      <c r="M141" s="1">
        <v>128</v>
      </c>
      <c r="N141" s="3">
        <f>230+2</f>
        <v>232</v>
      </c>
    </row>
    <row r="142" spans="1:14" x14ac:dyDescent="0.3">
      <c r="A142" t="s">
        <v>32</v>
      </c>
      <c r="B142" t="str">
        <f t="shared" si="4"/>
        <v>Snoqualmie_2</v>
      </c>
      <c r="C142" t="s">
        <v>29</v>
      </c>
      <c r="D142">
        <v>2</v>
      </c>
      <c r="E142">
        <v>156</v>
      </c>
      <c r="F142">
        <v>2</v>
      </c>
      <c r="H142" s="1">
        <v>42</v>
      </c>
      <c r="I142" s="3">
        <v>14560</v>
      </c>
      <c r="J142" s="3">
        <v>5010</v>
      </c>
      <c r="K142" s="2">
        <v>167.3</v>
      </c>
      <c r="L142" s="2">
        <f t="shared" si="5"/>
        <v>9.8213392411800005</v>
      </c>
      <c r="M142" s="1">
        <v>85</v>
      </c>
      <c r="N142" s="3">
        <v>318</v>
      </c>
    </row>
    <row r="143" spans="1:14" x14ac:dyDescent="0.3">
      <c r="A143" t="s">
        <v>32</v>
      </c>
      <c r="B143" t="str">
        <f t="shared" si="4"/>
        <v>Snoqualmie_2</v>
      </c>
      <c r="C143" t="s">
        <v>29</v>
      </c>
      <c r="D143">
        <v>2</v>
      </c>
      <c r="E143">
        <v>156</v>
      </c>
      <c r="F143">
        <v>2</v>
      </c>
      <c r="H143" s="1">
        <v>46</v>
      </c>
      <c r="I143" s="3">
        <v>18780</v>
      </c>
      <c r="J143" s="3">
        <v>5780</v>
      </c>
      <c r="K143" s="2">
        <v>185.6</v>
      </c>
      <c r="L143" s="2">
        <f t="shared" si="5"/>
        <v>10.426849836627543</v>
      </c>
      <c r="M143" s="1">
        <v>88</v>
      </c>
      <c r="N143" s="3">
        <v>313</v>
      </c>
    </row>
    <row r="144" spans="1:14" x14ac:dyDescent="0.3">
      <c r="A144" t="s">
        <v>32</v>
      </c>
      <c r="B144" t="str">
        <f t="shared" si="4"/>
        <v>Snoqualmie_2</v>
      </c>
      <c r="C144" t="s">
        <v>29</v>
      </c>
      <c r="D144">
        <v>2</v>
      </c>
      <c r="E144">
        <v>156</v>
      </c>
      <c r="F144">
        <v>2</v>
      </c>
      <c r="H144" s="1">
        <v>51</v>
      </c>
      <c r="I144" s="3">
        <v>25310</v>
      </c>
      <c r="J144" s="3">
        <v>6760</v>
      </c>
      <c r="K144" s="2">
        <v>198.7</v>
      </c>
      <c r="L144" s="2">
        <f t="shared" si="5"/>
        <v>11.906076639172106</v>
      </c>
      <c r="M144" s="1">
        <v>100</v>
      </c>
      <c r="N144" s="3">
        <v>257</v>
      </c>
    </row>
    <row r="145" spans="1:14" x14ac:dyDescent="0.3">
      <c r="A145" t="s">
        <v>32</v>
      </c>
      <c r="B145" t="str">
        <f t="shared" si="4"/>
        <v>Snoqualmie_2</v>
      </c>
      <c r="C145" t="s">
        <v>29</v>
      </c>
      <c r="D145">
        <v>2</v>
      </c>
      <c r="E145">
        <v>156</v>
      </c>
      <c r="F145">
        <v>2</v>
      </c>
      <c r="H145" s="1">
        <v>57</v>
      </c>
      <c r="I145" s="3">
        <v>33474</v>
      </c>
      <c r="J145" s="3">
        <v>8097</v>
      </c>
      <c r="K145" s="2">
        <v>218</v>
      </c>
      <c r="L145" s="2">
        <f t="shared" si="5"/>
        <v>12.931997089858241</v>
      </c>
      <c r="M145" s="1">
        <v>112</v>
      </c>
      <c r="N145" s="3">
        <v>239</v>
      </c>
    </row>
    <row r="146" spans="1:14" x14ac:dyDescent="0.3">
      <c r="A146" t="s">
        <v>32</v>
      </c>
      <c r="B146" t="str">
        <f t="shared" si="4"/>
        <v>Snoqualmie_2</v>
      </c>
      <c r="C146" t="s">
        <v>29</v>
      </c>
      <c r="D146">
        <v>2</v>
      </c>
      <c r="E146">
        <v>156</v>
      </c>
      <c r="F146">
        <v>2</v>
      </c>
      <c r="H146" s="1">
        <v>67</v>
      </c>
      <c r="I146" s="3">
        <v>42507</v>
      </c>
      <c r="J146" s="3">
        <v>9564</v>
      </c>
      <c r="K146" s="2">
        <v>234.3</v>
      </c>
      <c r="L146" s="2">
        <f t="shared" si="5"/>
        <v>14.102482536645468</v>
      </c>
      <c r="M146" s="1">
        <v>127</v>
      </c>
      <c r="N146" s="3">
        <v>216</v>
      </c>
    </row>
    <row r="147" spans="1:14" x14ac:dyDescent="0.3">
      <c r="A147" t="s">
        <v>32</v>
      </c>
      <c r="B147" t="str">
        <f t="shared" si="4"/>
        <v>Snoqualmie_2</v>
      </c>
      <c r="C147" t="s">
        <v>29</v>
      </c>
      <c r="D147">
        <v>2</v>
      </c>
      <c r="E147">
        <v>156</v>
      </c>
      <c r="F147">
        <v>2</v>
      </c>
      <c r="H147" s="1">
        <v>72</v>
      </c>
      <c r="I147" s="3">
        <v>47813</v>
      </c>
      <c r="J147" s="3">
        <v>10166</v>
      </c>
      <c r="K147" s="2">
        <v>237.2</v>
      </c>
      <c r="L147" s="2">
        <f t="shared" si="5"/>
        <v>14.459789700794465</v>
      </c>
      <c r="M147" s="1">
        <v>136</v>
      </c>
      <c r="N147" s="3">
        <v>208</v>
      </c>
    </row>
    <row r="148" spans="1:14" x14ac:dyDescent="0.3">
      <c r="A148" t="s">
        <v>32</v>
      </c>
      <c r="B148" t="str">
        <f t="shared" si="4"/>
        <v>Willamette_1</v>
      </c>
      <c r="C148" t="s">
        <v>30</v>
      </c>
      <c r="D148">
        <v>1</v>
      </c>
      <c r="E148">
        <v>170</v>
      </c>
      <c r="F148">
        <v>2</v>
      </c>
      <c r="H148">
        <v>54</v>
      </c>
      <c r="I148" s="3">
        <v>29010</v>
      </c>
      <c r="J148" s="3">
        <v>7354</v>
      </c>
      <c r="K148" s="2">
        <f>181.2+8.7</f>
        <v>189.89999999999998</v>
      </c>
      <c r="L148" s="2">
        <f t="shared" si="5"/>
        <v>12.696146020622633</v>
      </c>
      <c r="M148">
        <v>119</v>
      </c>
      <c r="N148" s="3">
        <f>188+28</f>
        <v>216</v>
      </c>
    </row>
    <row r="149" spans="1:14" x14ac:dyDescent="0.3">
      <c r="A149" t="s">
        <v>32</v>
      </c>
      <c r="B149" t="str">
        <f t="shared" si="4"/>
        <v>Willamette_1</v>
      </c>
      <c r="C149" t="s">
        <v>30</v>
      </c>
      <c r="D149">
        <v>1</v>
      </c>
      <c r="E149">
        <v>170</v>
      </c>
      <c r="F149">
        <v>2</v>
      </c>
      <c r="H149">
        <v>59.5</v>
      </c>
      <c r="I149" s="3">
        <v>37440</v>
      </c>
      <c r="J149" s="3">
        <v>8709</v>
      </c>
      <c r="K149" s="2">
        <f>197.2+4</f>
        <v>201.2</v>
      </c>
      <c r="L149" s="2">
        <f t="shared" si="5"/>
        <v>14.007846222623694</v>
      </c>
      <c r="M149">
        <v>131</v>
      </c>
      <c r="N149" s="3">
        <f>175+13</f>
        <v>188</v>
      </c>
    </row>
    <row r="150" spans="1:14" x14ac:dyDescent="0.3">
      <c r="A150" t="s">
        <v>32</v>
      </c>
      <c r="B150" t="str">
        <f t="shared" si="4"/>
        <v>Willamette_1</v>
      </c>
      <c r="C150" t="s">
        <v>30</v>
      </c>
      <c r="D150">
        <v>1</v>
      </c>
      <c r="E150">
        <v>170</v>
      </c>
      <c r="F150">
        <v>2</v>
      </c>
      <c r="H150">
        <v>64.5</v>
      </c>
      <c r="I150" s="3">
        <v>44070</v>
      </c>
      <c r="J150" s="3">
        <v>9528</v>
      </c>
      <c r="K150" s="2">
        <f>207+3.5</f>
        <v>210.5</v>
      </c>
      <c r="L150" s="2">
        <f t="shared" si="5"/>
        <v>15.629094189825956</v>
      </c>
      <c r="M150">
        <v>137</v>
      </c>
      <c r="N150" s="3">
        <f>149+9</f>
        <v>158</v>
      </c>
    </row>
    <row r="151" spans="1:14" x14ac:dyDescent="0.3">
      <c r="A151" t="s">
        <v>32</v>
      </c>
      <c r="B151" t="str">
        <f t="shared" si="4"/>
        <v>Willamette_1</v>
      </c>
      <c r="C151" t="s">
        <v>30</v>
      </c>
      <c r="D151">
        <v>1</v>
      </c>
      <c r="E151">
        <v>170</v>
      </c>
      <c r="F151">
        <v>2</v>
      </c>
      <c r="H151">
        <v>69</v>
      </c>
      <c r="I151" s="3">
        <v>49280</v>
      </c>
      <c r="J151" s="3">
        <v>10316</v>
      </c>
      <c r="K151" s="2">
        <f>218.2+2.8</f>
        <v>221</v>
      </c>
      <c r="L151" s="2">
        <f t="shared" si="5"/>
        <v>16.546326166389338</v>
      </c>
      <c r="M151">
        <v>139</v>
      </c>
      <c r="N151" s="3">
        <f>141+7</f>
        <v>148</v>
      </c>
    </row>
    <row r="152" spans="1:14" x14ac:dyDescent="0.3">
      <c r="A152" t="s">
        <v>32</v>
      </c>
      <c r="B152" t="str">
        <f t="shared" si="4"/>
        <v>Willamette_1</v>
      </c>
      <c r="C152" t="s">
        <v>30</v>
      </c>
      <c r="D152">
        <v>1</v>
      </c>
      <c r="E152">
        <v>170</v>
      </c>
      <c r="F152">
        <v>2</v>
      </c>
      <c r="H152">
        <v>74</v>
      </c>
      <c r="I152" s="3">
        <v>54128</v>
      </c>
      <c r="J152" s="3">
        <v>11162</v>
      </c>
      <c r="K152" s="2">
        <f>225+3.1</f>
        <v>228.1</v>
      </c>
      <c r="L152" s="2">
        <f t="shared" si="5"/>
        <v>17.041887674019463</v>
      </c>
      <c r="M152">
        <v>143</v>
      </c>
      <c r="N152" s="3">
        <f>137+7</f>
        <v>144</v>
      </c>
    </row>
    <row r="153" spans="1:14" x14ac:dyDescent="0.3">
      <c r="A153" t="s">
        <v>32</v>
      </c>
      <c r="B153" t="str">
        <f t="shared" si="4"/>
        <v>Willamette_1</v>
      </c>
      <c r="C153" t="s">
        <v>30</v>
      </c>
      <c r="D153">
        <v>1</v>
      </c>
      <c r="E153">
        <v>170</v>
      </c>
      <c r="F153">
        <v>2</v>
      </c>
      <c r="H153">
        <v>79</v>
      </c>
      <c r="I153" s="3">
        <v>63754</v>
      </c>
      <c r="J153" s="3">
        <v>12483</v>
      </c>
      <c r="K153" s="2">
        <f>239.1+3</f>
        <v>242.1</v>
      </c>
      <c r="L153" s="2">
        <f t="shared" si="5"/>
        <v>18.200415279852805</v>
      </c>
      <c r="M153">
        <v>151</v>
      </c>
      <c r="N153" s="3">
        <f>127+7</f>
        <v>134</v>
      </c>
    </row>
    <row r="154" spans="1:14" x14ac:dyDescent="0.3">
      <c r="A154" t="s">
        <v>32</v>
      </c>
      <c r="B154" t="str">
        <f t="shared" si="4"/>
        <v>Willamette_1</v>
      </c>
      <c r="C154" t="s">
        <v>30</v>
      </c>
      <c r="D154">
        <v>1</v>
      </c>
      <c r="E154">
        <v>170</v>
      </c>
      <c r="F154">
        <v>2</v>
      </c>
      <c r="H154">
        <v>84</v>
      </c>
      <c r="I154" s="3">
        <v>70145</v>
      </c>
      <c r="J154" s="3">
        <v>13301</v>
      </c>
      <c r="K154" s="2">
        <f>249+3.2</f>
        <v>252.2</v>
      </c>
      <c r="L154" s="2">
        <f t="shared" si="5"/>
        <v>18.932762538399174</v>
      </c>
      <c r="M154">
        <v>156</v>
      </c>
      <c r="N154" s="3">
        <f>121+8</f>
        <v>129</v>
      </c>
    </row>
    <row r="155" spans="1:14" x14ac:dyDescent="0.3">
      <c r="A155" t="s">
        <v>32</v>
      </c>
      <c r="B155" t="str">
        <f t="shared" si="4"/>
        <v>Willamette_1</v>
      </c>
      <c r="C155" t="s">
        <v>30</v>
      </c>
      <c r="D155">
        <v>1</v>
      </c>
      <c r="E155">
        <v>170</v>
      </c>
      <c r="F155">
        <v>2</v>
      </c>
      <c r="H155">
        <v>90</v>
      </c>
      <c r="I155" s="3">
        <v>77713</v>
      </c>
      <c r="J155" s="3">
        <v>14165</v>
      </c>
      <c r="K155" s="2">
        <f>257.1+3.4</f>
        <v>260.5</v>
      </c>
      <c r="L155" s="2">
        <f t="shared" si="5"/>
        <v>20.033954588013735</v>
      </c>
      <c r="M155">
        <v>163</v>
      </c>
      <c r="N155" s="3">
        <f>112+7</f>
        <v>119</v>
      </c>
    </row>
    <row r="156" spans="1:14" x14ac:dyDescent="0.3">
      <c r="A156" t="s">
        <v>32</v>
      </c>
      <c r="B156" t="str">
        <f t="shared" si="4"/>
        <v>Willamette_1</v>
      </c>
      <c r="C156" t="s">
        <v>30</v>
      </c>
      <c r="D156">
        <v>1</v>
      </c>
      <c r="E156">
        <v>170</v>
      </c>
      <c r="F156">
        <v>2</v>
      </c>
      <c r="H156">
        <v>95</v>
      </c>
      <c r="I156" s="3">
        <v>84666</v>
      </c>
      <c r="J156" s="3">
        <v>15225</v>
      </c>
      <c r="K156" s="2">
        <f>270.5+3.4</f>
        <v>273.89999999999998</v>
      </c>
      <c r="L156" s="2">
        <f t="shared" si="5"/>
        <v>20.717597297787528</v>
      </c>
      <c r="M156">
        <v>166</v>
      </c>
      <c r="N156" s="3">
        <f>110+7</f>
        <v>117</v>
      </c>
    </row>
    <row r="157" spans="1:14" x14ac:dyDescent="0.3">
      <c r="A157" t="s">
        <v>32</v>
      </c>
      <c r="B157" t="str">
        <f t="shared" si="4"/>
        <v>Willamette_1</v>
      </c>
      <c r="C157" t="s">
        <v>30</v>
      </c>
      <c r="D157">
        <v>1</v>
      </c>
      <c r="E157">
        <v>170</v>
      </c>
      <c r="F157">
        <v>2</v>
      </c>
      <c r="H157">
        <v>100</v>
      </c>
      <c r="I157" s="3">
        <v>87686</v>
      </c>
      <c r="J157" s="3">
        <v>15510</v>
      </c>
      <c r="K157" s="2">
        <f>271.4+3.4</f>
        <v>274.79999999999995</v>
      </c>
      <c r="L157" s="2">
        <f t="shared" si="5"/>
        <v>21.401702537237796</v>
      </c>
      <c r="N157" s="3">
        <f>103+7</f>
        <v>110</v>
      </c>
    </row>
    <row r="158" spans="1:14" x14ac:dyDescent="0.3">
      <c r="A158" t="s">
        <v>32</v>
      </c>
      <c r="B158" t="str">
        <f t="shared" si="4"/>
        <v>Willamette_2</v>
      </c>
      <c r="C158" t="s">
        <v>30</v>
      </c>
      <c r="D158">
        <v>2</v>
      </c>
      <c r="E158">
        <v>170</v>
      </c>
      <c r="F158">
        <v>2</v>
      </c>
      <c r="H158">
        <v>54</v>
      </c>
      <c r="I158" s="3">
        <v>34710</v>
      </c>
      <c r="J158" s="3">
        <v>8796</v>
      </c>
      <c r="K158" s="2">
        <f>215+3+1.6</f>
        <v>219.6</v>
      </c>
      <c r="L158" s="2">
        <f t="shared" si="5"/>
        <v>13.467158841694943</v>
      </c>
      <c r="M158">
        <v>119</v>
      </c>
      <c r="N158" s="3">
        <f>214+8</f>
        <v>222</v>
      </c>
    </row>
    <row r="159" spans="1:14" x14ac:dyDescent="0.3">
      <c r="A159" t="s">
        <v>32</v>
      </c>
      <c r="B159" t="str">
        <f t="shared" si="4"/>
        <v>Willamette_2</v>
      </c>
      <c r="C159" t="s">
        <v>30</v>
      </c>
      <c r="D159">
        <v>2</v>
      </c>
      <c r="E159">
        <v>170</v>
      </c>
      <c r="F159">
        <v>2</v>
      </c>
      <c r="H159">
        <v>59.5</v>
      </c>
      <c r="I159" s="3">
        <v>44040</v>
      </c>
      <c r="J159" s="3">
        <v>10274</v>
      </c>
      <c r="K159" s="2">
        <f>231.7+0.8</f>
        <v>232.5</v>
      </c>
      <c r="L159" s="2">
        <f t="shared" si="5"/>
        <v>14.49104688323181</v>
      </c>
      <c r="M159">
        <v>133</v>
      </c>
      <c r="N159" s="3">
        <f>198+5</f>
        <v>203</v>
      </c>
    </row>
    <row r="160" spans="1:14" x14ac:dyDescent="0.3">
      <c r="A160" t="s">
        <v>32</v>
      </c>
      <c r="B160" t="str">
        <f t="shared" si="4"/>
        <v>Willamette_2</v>
      </c>
      <c r="C160" t="s">
        <v>30</v>
      </c>
      <c r="D160">
        <v>2</v>
      </c>
      <c r="E160">
        <v>170</v>
      </c>
      <c r="F160">
        <v>2</v>
      </c>
      <c r="H160">
        <v>64.5</v>
      </c>
      <c r="I160" s="3">
        <v>47860</v>
      </c>
      <c r="J160" s="3">
        <v>10536</v>
      </c>
      <c r="K160" s="2">
        <f>226.9+0.6</f>
        <v>227.5</v>
      </c>
      <c r="L160" s="2">
        <f t="shared" si="5"/>
        <v>15.947957820219333</v>
      </c>
      <c r="M160">
        <v>138</v>
      </c>
      <c r="N160" s="3">
        <f>160+4</f>
        <v>164</v>
      </c>
    </row>
    <row r="161" spans="1:14" x14ac:dyDescent="0.3">
      <c r="A161" t="s">
        <v>32</v>
      </c>
      <c r="B161" t="str">
        <f t="shared" si="4"/>
        <v>Willamette_2</v>
      </c>
      <c r="C161" t="s">
        <v>30</v>
      </c>
      <c r="D161">
        <v>2</v>
      </c>
      <c r="E161">
        <v>170</v>
      </c>
      <c r="F161">
        <v>2</v>
      </c>
      <c r="H161">
        <v>69</v>
      </c>
      <c r="I161" s="3">
        <v>53860</v>
      </c>
      <c r="J161" s="3">
        <v>11324</v>
      </c>
      <c r="K161" s="2">
        <f>238.7+0.6</f>
        <v>239.29999999999998</v>
      </c>
      <c r="L161" s="2">
        <f t="shared" si="5"/>
        <v>16.879022448135828</v>
      </c>
      <c r="M161">
        <v>138</v>
      </c>
      <c r="N161" s="3">
        <f>151+3</f>
        <v>154</v>
      </c>
    </row>
    <row r="162" spans="1:14" x14ac:dyDescent="0.3">
      <c r="A162" t="s">
        <v>32</v>
      </c>
      <c r="B162" t="str">
        <f t="shared" si="4"/>
        <v>Willamette_2</v>
      </c>
      <c r="C162" t="s">
        <v>30</v>
      </c>
      <c r="D162">
        <v>2</v>
      </c>
      <c r="E162">
        <v>170</v>
      </c>
      <c r="F162">
        <v>2</v>
      </c>
      <c r="H162">
        <v>74</v>
      </c>
      <c r="I162" s="3">
        <v>60620</v>
      </c>
      <c r="J162" s="3">
        <v>12485</v>
      </c>
      <c r="K162" s="2">
        <f>255.1+0.1</f>
        <v>255.2</v>
      </c>
      <c r="L162" s="2">
        <f t="shared" si="5"/>
        <v>17.545059401807254</v>
      </c>
      <c r="M162">
        <v>144</v>
      </c>
      <c r="N162" s="3">
        <f>149+3</f>
        <v>152</v>
      </c>
    </row>
    <row r="163" spans="1:14" x14ac:dyDescent="0.3">
      <c r="A163" t="s">
        <v>32</v>
      </c>
      <c r="B163" t="str">
        <f t="shared" si="4"/>
        <v>Willamette_2</v>
      </c>
      <c r="C163" t="s">
        <v>30</v>
      </c>
      <c r="D163">
        <v>2</v>
      </c>
      <c r="E163">
        <v>170</v>
      </c>
      <c r="F163">
        <v>2</v>
      </c>
      <c r="H163">
        <v>79</v>
      </c>
      <c r="I163" s="3">
        <v>67242</v>
      </c>
      <c r="J163" s="3">
        <v>13274</v>
      </c>
      <c r="K163" s="2">
        <f>255.5+0.6</f>
        <v>256.10000000000002</v>
      </c>
      <c r="L163" s="2">
        <f t="shared" si="5"/>
        <v>18.379499933137808</v>
      </c>
      <c r="M163">
        <v>151</v>
      </c>
      <c r="N163" s="3">
        <f>136+3</f>
        <v>139</v>
      </c>
    </row>
    <row r="164" spans="1:14" x14ac:dyDescent="0.3">
      <c r="A164" t="s">
        <v>32</v>
      </c>
      <c r="B164" t="str">
        <f t="shared" si="4"/>
        <v>Willamette_2</v>
      </c>
      <c r="C164" t="s">
        <v>30</v>
      </c>
      <c r="D164">
        <v>2</v>
      </c>
      <c r="E164">
        <v>170</v>
      </c>
      <c r="F164">
        <v>2</v>
      </c>
      <c r="H164">
        <v>84</v>
      </c>
      <c r="I164" s="3">
        <v>67716</v>
      </c>
      <c r="J164" s="3">
        <v>12788</v>
      </c>
      <c r="K164" s="2">
        <f>239.1+0.9</f>
        <v>240</v>
      </c>
      <c r="L164" s="2">
        <f t="shared" si="5"/>
        <v>19.14922930563386</v>
      </c>
      <c r="M164">
        <v>156</v>
      </c>
      <c r="N164" s="3">
        <f>114+6</f>
        <v>120</v>
      </c>
    </row>
    <row r="165" spans="1:14" x14ac:dyDescent="0.3">
      <c r="A165" t="s">
        <v>32</v>
      </c>
      <c r="B165" t="str">
        <f t="shared" si="4"/>
        <v>Willamette_2</v>
      </c>
      <c r="C165" t="s">
        <v>30</v>
      </c>
      <c r="D165">
        <v>2</v>
      </c>
      <c r="E165">
        <v>170</v>
      </c>
      <c r="F165">
        <v>2</v>
      </c>
      <c r="H165">
        <v>90</v>
      </c>
      <c r="I165" s="3">
        <v>77153</v>
      </c>
      <c r="J165" s="3">
        <v>13917</v>
      </c>
      <c r="K165" s="2">
        <f>254.6+0.8</f>
        <v>255.4</v>
      </c>
      <c r="L165" s="2">
        <f t="shared" si="5"/>
        <v>19.836875501349265</v>
      </c>
      <c r="M165">
        <v>163</v>
      </c>
      <c r="N165" s="3">
        <f>116+3</f>
        <v>119</v>
      </c>
    </row>
    <row r="166" spans="1:14" x14ac:dyDescent="0.3">
      <c r="A166" t="s">
        <v>32</v>
      </c>
      <c r="B166" t="str">
        <f t="shared" si="4"/>
        <v>Willamette_2</v>
      </c>
      <c r="C166" t="s">
        <v>30</v>
      </c>
      <c r="D166">
        <v>2</v>
      </c>
      <c r="E166">
        <v>170</v>
      </c>
      <c r="F166">
        <v>2</v>
      </c>
      <c r="H166">
        <v>95</v>
      </c>
      <c r="I166" s="3">
        <v>81917</v>
      </c>
      <c r="J166" s="3">
        <v>14654</v>
      </c>
      <c r="K166" s="2">
        <f>259.7+0.8</f>
        <v>260.5</v>
      </c>
      <c r="L166" s="2">
        <f t="shared" si="5"/>
        <v>20.650527716302044</v>
      </c>
      <c r="M166">
        <v>166</v>
      </c>
      <c r="N166" s="3">
        <f>109+3</f>
        <v>112</v>
      </c>
    </row>
    <row r="167" spans="1:14" x14ac:dyDescent="0.3">
      <c r="A167" t="s">
        <v>32</v>
      </c>
      <c r="B167" t="str">
        <f t="shared" si="4"/>
        <v>Willamette_2</v>
      </c>
      <c r="C167" t="s">
        <v>30</v>
      </c>
      <c r="D167">
        <v>2</v>
      </c>
      <c r="E167">
        <v>170</v>
      </c>
      <c r="F167">
        <v>2</v>
      </c>
      <c r="H167">
        <v>100</v>
      </c>
      <c r="I167" s="3">
        <v>84641</v>
      </c>
      <c r="J167" s="3">
        <v>14954</v>
      </c>
      <c r="K167" s="2">
        <f>261.8+0.8</f>
        <v>262.60000000000002</v>
      </c>
      <c r="L167" s="2">
        <f t="shared" si="5"/>
        <v>21.016984976522309</v>
      </c>
      <c r="N167" s="3">
        <f>106+3</f>
        <v>109</v>
      </c>
    </row>
    <row r="168" spans="1:14" x14ac:dyDescent="0.3">
      <c r="A168" t="s">
        <v>32</v>
      </c>
      <c r="B168" t="str">
        <f t="shared" si="4"/>
        <v>Willamette_3</v>
      </c>
      <c r="C168" t="s">
        <v>30</v>
      </c>
      <c r="D168">
        <v>3</v>
      </c>
      <c r="E168">
        <v>170</v>
      </c>
      <c r="F168">
        <v>2</v>
      </c>
      <c r="H168">
        <v>54</v>
      </c>
      <c r="I168" s="3">
        <v>36380</v>
      </c>
      <c r="J168" s="3">
        <v>8833</v>
      </c>
      <c r="K168" s="2">
        <f>214.7+5.3</f>
        <v>220</v>
      </c>
      <c r="L168" s="2">
        <f t="shared" si="5"/>
        <v>13.925666005681347</v>
      </c>
      <c r="M168">
        <v>121</v>
      </c>
      <c r="N168" s="3">
        <f>190+18</f>
        <v>208</v>
      </c>
    </row>
    <row r="169" spans="1:14" x14ac:dyDescent="0.3">
      <c r="A169" t="s">
        <v>32</v>
      </c>
      <c r="B169" t="str">
        <f t="shared" si="4"/>
        <v>Willamette_3</v>
      </c>
      <c r="C169" t="s">
        <v>30</v>
      </c>
      <c r="D169">
        <v>3</v>
      </c>
      <c r="E169">
        <v>170</v>
      </c>
      <c r="F169">
        <v>2</v>
      </c>
      <c r="H169">
        <v>59.5</v>
      </c>
      <c r="I169" s="3">
        <v>46410</v>
      </c>
      <c r="J169" s="3">
        <v>10406</v>
      </c>
      <c r="K169" s="2">
        <f>233.2+2.2</f>
        <v>235.39999999999998</v>
      </c>
      <c r="L169" s="2">
        <f t="shared" si="5"/>
        <v>15.357268815105108</v>
      </c>
      <c r="M169">
        <v>133</v>
      </c>
      <c r="N169" s="3">
        <f>175+8</f>
        <v>183</v>
      </c>
    </row>
    <row r="170" spans="1:14" x14ac:dyDescent="0.3">
      <c r="A170" t="s">
        <v>32</v>
      </c>
      <c r="B170" t="str">
        <f t="shared" si="4"/>
        <v>Willamette_3</v>
      </c>
      <c r="C170" t="s">
        <v>30</v>
      </c>
      <c r="D170">
        <v>3</v>
      </c>
      <c r="E170">
        <v>170</v>
      </c>
      <c r="F170">
        <v>2</v>
      </c>
      <c r="H170">
        <v>64.5</v>
      </c>
      <c r="I170" s="3">
        <v>50940</v>
      </c>
      <c r="J170" s="3">
        <v>10934</v>
      </c>
      <c r="K170" s="2">
        <f>237.2+2</f>
        <v>239.2</v>
      </c>
      <c r="L170" s="2">
        <f t="shared" si="5"/>
        <v>16.352906948033265</v>
      </c>
      <c r="M170">
        <v>138</v>
      </c>
      <c r="N170" s="3">
        <f>157+7</f>
        <v>164</v>
      </c>
    </row>
    <row r="171" spans="1:14" x14ac:dyDescent="0.3">
      <c r="A171" t="s">
        <v>32</v>
      </c>
      <c r="B171" t="str">
        <f t="shared" si="4"/>
        <v>Willamette_3</v>
      </c>
      <c r="C171" t="s">
        <v>30</v>
      </c>
      <c r="D171">
        <v>3</v>
      </c>
      <c r="E171">
        <v>170</v>
      </c>
      <c r="F171">
        <v>2</v>
      </c>
      <c r="H171">
        <v>69</v>
      </c>
      <c r="I171" s="3">
        <v>57920</v>
      </c>
      <c r="J171" s="3">
        <v>11864</v>
      </c>
      <c r="K171" s="2">
        <f>251.3+1.7</f>
        <v>253</v>
      </c>
      <c r="L171" s="2">
        <f t="shared" si="5"/>
        <v>17.412087745865662</v>
      </c>
      <c r="M171">
        <v>140</v>
      </c>
      <c r="N171" s="3">
        <f>147+6</f>
        <v>153</v>
      </c>
    </row>
    <row r="172" spans="1:14" x14ac:dyDescent="0.3">
      <c r="A172" t="s">
        <v>32</v>
      </c>
      <c r="B172" t="str">
        <f t="shared" si="4"/>
        <v>Willamette_3</v>
      </c>
      <c r="C172" t="s">
        <v>30</v>
      </c>
      <c r="D172">
        <v>3</v>
      </c>
      <c r="E172">
        <v>170</v>
      </c>
      <c r="F172">
        <v>2</v>
      </c>
      <c r="H172">
        <v>74</v>
      </c>
      <c r="I172" s="3">
        <v>63312</v>
      </c>
      <c r="J172" s="3">
        <v>12741</v>
      </c>
      <c r="K172" s="2">
        <f>263.2+0.8</f>
        <v>264</v>
      </c>
      <c r="L172" s="2">
        <f t="shared" si="5"/>
        <v>18.084537548721705</v>
      </c>
      <c r="M172">
        <v>144</v>
      </c>
      <c r="N172" s="3">
        <f>145+3</f>
        <v>148</v>
      </c>
    </row>
    <row r="173" spans="1:14" x14ac:dyDescent="0.3">
      <c r="A173" t="s">
        <v>32</v>
      </c>
      <c r="B173" t="str">
        <f t="shared" si="4"/>
        <v>Willamette_3</v>
      </c>
      <c r="C173" t="s">
        <v>30</v>
      </c>
      <c r="D173">
        <v>3</v>
      </c>
      <c r="E173">
        <v>170</v>
      </c>
      <c r="F173">
        <v>2</v>
      </c>
      <c r="H173">
        <v>79</v>
      </c>
      <c r="I173" s="3">
        <v>69694</v>
      </c>
      <c r="J173" s="3">
        <v>13628</v>
      </c>
      <c r="K173" s="2">
        <f>260.7+0.9</f>
        <v>261.59999999999997</v>
      </c>
      <c r="L173" s="2">
        <f t="shared" si="5"/>
        <v>18.848998829168</v>
      </c>
      <c r="M173">
        <v>152</v>
      </c>
      <c r="N173" s="3">
        <f>131+4</f>
        <v>135</v>
      </c>
    </row>
    <row r="174" spans="1:14" x14ac:dyDescent="0.3">
      <c r="A174" t="s">
        <v>32</v>
      </c>
      <c r="B174" t="str">
        <f t="shared" si="4"/>
        <v>Willamette_3</v>
      </c>
      <c r="C174" t="s">
        <v>30</v>
      </c>
      <c r="D174">
        <v>3</v>
      </c>
      <c r="E174">
        <v>170</v>
      </c>
      <c r="F174">
        <v>2</v>
      </c>
      <c r="H174">
        <v>84</v>
      </c>
      <c r="I174" s="3">
        <v>76893</v>
      </c>
      <c r="J174" s="3">
        <v>14536</v>
      </c>
      <c r="K174" s="2">
        <f>271.6+1.2</f>
        <v>272.8</v>
      </c>
      <c r="L174" s="2">
        <f t="shared" si="5"/>
        <v>19.319953895290745</v>
      </c>
      <c r="M174">
        <v>156</v>
      </c>
      <c r="N174" s="3">
        <f>127+7</f>
        <v>134</v>
      </c>
    </row>
    <row r="175" spans="1:14" x14ac:dyDescent="0.3">
      <c r="A175" t="s">
        <v>32</v>
      </c>
      <c r="B175" t="str">
        <f t="shared" si="4"/>
        <v>Willamette_3</v>
      </c>
      <c r="C175" t="s">
        <v>30</v>
      </c>
      <c r="D175">
        <v>3</v>
      </c>
      <c r="E175">
        <v>170</v>
      </c>
      <c r="F175">
        <v>2</v>
      </c>
      <c r="H175">
        <v>90</v>
      </c>
      <c r="I175" s="3">
        <v>83022</v>
      </c>
      <c r="J175" s="3">
        <v>15052</v>
      </c>
      <c r="K175" s="2">
        <f>273.1+0.2</f>
        <v>273.3</v>
      </c>
      <c r="L175" s="2">
        <f t="shared" si="5"/>
        <v>20.434569591527037</v>
      </c>
      <c r="M175">
        <v>162</v>
      </c>
      <c r="N175" s="3">
        <f>118+2</f>
        <v>120</v>
      </c>
    </row>
    <row r="176" spans="1:14" x14ac:dyDescent="0.3">
      <c r="A176" t="s">
        <v>32</v>
      </c>
      <c r="B176" t="str">
        <f t="shared" si="4"/>
        <v>Willamette_3</v>
      </c>
      <c r="C176" t="s">
        <v>30</v>
      </c>
      <c r="D176">
        <v>3</v>
      </c>
      <c r="E176">
        <v>170</v>
      </c>
      <c r="F176">
        <v>2</v>
      </c>
      <c r="H176">
        <v>95</v>
      </c>
      <c r="I176" s="3">
        <v>87000</v>
      </c>
      <c r="J176" s="3">
        <v>15508</v>
      </c>
      <c r="K176" s="2">
        <f>274.7+0.2</f>
        <v>274.89999999999998</v>
      </c>
      <c r="L176" s="2">
        <f t="shared" si="5"/>
        <v>21.213613914122618</v>
      </c>
      <c r="M176">
        <v>167</v>
      </c>
      <c r="N176" s="3">
        <f>110+2</f>
        <v>112</v>
      </c>
    </row>
    <row r="177" spans="1:14" x14ac:dyDescent="0.3">
      <c r="A177" t="s">
        <v>32</v>
      </c>
      <c r="B177" t="str">
        <f t="shared" si="4"/>
        <v>Willamette_3</v>
      </c>
      <c r="C177" t="s">
        <v>30</v>
      </c>
      <c r="D177">
        <v>3</v>
      </c>
      <c r="E177">
        <v>170</v>
      </c>
      <c r="F177">
        <v>2</v>
      </c>
      <c r="H177">
        <v>100</v>
      </c>
      <c r="I177" s="3">
        <v>92263</v>
      </c>
      <c r="J177" s="3">
        <v>16216</v>
      </c>
      <c r="K177" s="2">
        <f>283.7+0.3</f>
        <v>284</v>
      </c>
      <c r="L177" s="2">
        <f t="shared" si="5"/>
        <v>21.186854167954536</v>
      </c>
      <c r="N177" s="3">
        <f>114+2</f>
        <v>116</v>
      </c>
    </row>
    <row r="178" spans="1:14" x14ac:dyDescent="0.3">
      <c r="A178" t="s">
        <v>32</v>
      </c>
      <c r="B178" t="str">
        <f t="shared" si="4"/>
        <v>Wind River_2</v>
      </c>
      <c r="C178" t="s">
        <v>31</v>
      </c>
      <c r="D178">
        <v>2</v>
      </c>
      <c r="E178">
        <v>146</v>
      </c>
      <c r="F178">
        <v>3</v>
      </c>
      <c r="H178" s="1">
        <v>72</v>
      </c>
      <c r="I178" s="3">
        <v>42270</v>
      </c>
      <c r="J178" s="3">
        <v>9247</v>
      </c>
      <c r="K178" s="2">
        <f>219.8+2.2</f>
        <v>222</v>
      </c>
      <c r="L178" s="2">
        <f t="shared" si="5"/>
        <v>15.565323393335529</v>
      </c>
      <c r="M178" s="1">
        <v>124</v>
      </c>
      <c r="N178" s="3">
        <f>160+8</f>
        <v>168</v>
      </c>
    </row>
    <row r="179" spans="1:14" x14ac:dyDescent="0.3">
      <c r="A179" t="s">
        <v>32</v>
      </c>
      <c r="B179" t="str">
        <f t="shared" si="4"/>
        <v>Wind River_2</v>
      </c>
      <c r="C179" t="s">
        <v>31</v>
      </c>
      <c r="D179">
        <v>2</v>
      </c>
      <c r="E179">
        <v>146</v>
      </c>
      <c r="F179">
        <v>3</v>
      </c>
      <c r="H179" s="1">
        <v>77</v>
      </c>
      <c r="I179" s="3">
        <v>50400</v>
      </c>
      <c r="J179" s="3">
        <v>10625</v>
      </c>
      <c r="K179" s="2">
        <f>236.3+2.1</f>
        <v>238.4</v>
      </c>
      <c r="L179" s="2">
        <f t="shared" si="5"/>
        <v>16.73890822450868</v>
      </c>
      <c r="M179" s="1">
        <v>132</v>
      </c>
      <c r="N179" s="3">
        <f>149+7</f>
        <v>156</v>
      </c>
    </row>
    <row r="180" spans="1:14" x14ac:dyDescent="0.3">
      <c r="A180" t="s">
        <v>32</v>
      </c>
      <c r="B180" t="str">
        <f t="shared" si="4"/>
        <v>Wind River_2</v>
      </c>
      <c r="C180" t="s">
        <v>31</v>
      </c>
      <c r="D180">
        <v>2</v>
      </c>
      <c r="E180">
        <v>146</v>
      </c>
      <c r="F180">
        <v>3</v>
      </c>
      <c r="H180" s="1">
        <v>83</v>
      </c>
      <c r="I180" s="3">
        <v>58850</v>
      </c>
      <c r="J180" s="3">
        <v>11953</v>
      </c>
      <c r="K180" s="2">
        <f>256.1+2.1</f>
        <v>258.20000000000005</v>
      </c>
      <c r="L180" s="2">
        <f t="shared" si="5"/>
        <v>17.647883447207832</v>
      </c>
      <c r="M180" s="1">
        <v>138</v>
      </c>
      <c r="N180" s="3">
        <f>145+7</f>
        <v>152</v>
      </c>
    </row>
    <row r="181" spans="1:14" x14ac:dyDescent="0.3">
      <c r="A181" t="s">
        <v>32</v>
      </c>
      <c r="B181" t="str">
        <f t="shared" si="4"/>
        <v>Wind River_2</v>
      </c>
      <c r="C181" t="s">
        <v>31</v>
      </c>
      <c r="D181">
        <v>2</v>
      </c>
      <c r="E181">
        <v>146</v>
      </c>
      <c r="F181">
        <v>3</v>
      </c>
      <c r="H181" s="1">
        <v>88</v>
      </c>
      <c r="I181" s="3">
        <v>57320</v>
      </c>
      <c r="J181" s="3">
        <v>11524</v>
      </c>
      <c r="K181" s="2">
        <f>254+0.8</f>
        <v>254.8</v>
      </c>
      <c r="L181" s="2">
        <f t="shared" si="5"/>
        <v>18.533889078358062</v>
      </c>
      <c r="M181" s="1">
        <v>136</v>
      </c>
      <c r="N181" s="3">
        <f>131+5</f>
        <v>136</v>
      </c>
    </row>
    <row r="182" spans="1:14" x14ac:dyDescent="0.3">
      <c r="A182" t="s">
        <v>32</v>
      </c>
      <c r="B182" t="str">
        <f t="shared" si="4"/>
        <v>Wind River_2</v>
      </c>
      <c r="C182" t="s">
        <v>31</v>
      </c>
      <c r="D182">
        <v>2</v>
      </c>
      <c r="E182">
        <v>146</v>
      </c>
      <c r="F182">
        <v>3</v>
      </c>
      <c r="H182" s="1">
        <v>93</v>
      </c>
      <c r="I182" s="3">
        <v>54357</v>
      </c>
      <c r="J182" s="3">
        <v>10681</v>
      </c>
      <c r="K182" s="2">
        <f>228.5+1</f>
        <v>229.5</v>
      </c>
      <c r="L182" s="2">
        <f t="shared" si="5"/>
        <v>19.128403601478393</v>
      </c>
      <c r="M182" s="1">
        <v>139</v>
      </c>
      <c r="N182" s="3">
        <f>110+5</f>
        <v>115</v>
      </c>
    </row>
    <row r="183" spans="1:14" x14ac:dyDescent="0.3">
      <c r="A183" t="s">
        <v>32</v>
      </c>
      <c r="B183" t="str">
        <f t="shared" si="4"/>
        <v>Wind River_2</v>
      </c>
      <c r="C183" t="s">
        <v>31</v>
      </c>
      <c r="D183">
        <v>2</v>
      </c>
      <c r="E183">
        <v>146</v>
      </c>
      <c r="F183">
        <v>3</v>
      </c>
      <c r="H183" s="1">
        <v>98</v>
      </c>
      <c r="I183" s="3">
        <v>59175</v>
      </c>
      <c r="J183" s="3">
        <v>11427</v>
      </c>
      <c r="K183" s="2">
        <f>238.6+0.9</f>
        <v>239.5</v>
      </c>
      <c r="L183" s="2">
        <f t="shared" si="5"/>
        <v>19.800677458247044</v>
      </c>
      <c r="M183" s="1">
        <v>144</v>
      </c>
      <c r="N183" s="3">
        <f>108+4</f>
        <v>112</v>
      </c>
    </row>
    <row r="184" spans="1:14" x14ac:dyDescent="0.3">
      <c r="A184" t="s">
        <v>32</v>
      </c>
      <c r="B184" t="str">
        <f t="shared" si="4"/>
        <v>Wind River_2</v>
      </c>
      <c r="C184" t="s">
        <v>31</v>
      </c>
      <c r="D184">
        <v>2</v>
      </c>
      <c r="E184">
        <v>146</v>
      </c>
      <c r="F184">
        <v>3</v>
      </c>
      <c r="H184" s="1">
        <v>103</v>
      </c>
      <c r="I184" s="3">
        <v>64514</v>
      </c>
      <c r="J184" s="3">
        <v>12293</v>
      </c>
      <c r="K184" s="2">
        <f>251.9+0.8</f>
        <v>252.70000000000002</v>
      </c>
      <c r="L184" s="2">
        <f t="shared" si="5"/>
        <v>19.815175318388114</v>
      </c>
      <c r="M184" s="1">
        <v>148</v>
      </c>
      <c r="N184" s="3">
        <f>110+8</f>
        <v>118</v>
      </c>
    </row>
    <row r="185" spans="1:14" x14ac:dyDescent="0.3">
      <c r="A185" t="s">
        <v>32</v>
      </c>
      <c r="B185" t="str">
        <f t="shared" si="4"/>
        <v>Wind River_2</v>
      </c>
      <c r="C185" t="s">
        <v>31</v>
      </c>
      <c r="D185">
        <v>2</v>
      </c>
      <c r="E185">
        <v>146</v>
      </c>
      <c r="F185">
        <v>3</v>
      </c>
      <c r="H185" s="1">
        <v>109</v>
      </c>
      <c r="I185" s="3">
        <v>66557</v>
      </c>
      <c r="J185" s="3">
        <v>12582</v>
      </c>
      <c r="K185" s="2">
        <f>255.5+0.9</f>
        <v>256.39999999999998</v>
      </c>
      <c r="L185" s="2">
        <f t="shared" si="5"/>
        <v>19.710726286681876</v>
      </c>
      <c r="M185" s="1">
        <v>149</v>
      </c>
      <c r="N185" s="3">
        <f>108+13</f>
        <v>121</v>
      </c>
    </row>
    <row r="186" spans="1:14" x14ac:dyDescent="0.3">
      <c r="A186" t="s">
        <v>32</v>
      </c>
      <c r="B186" t="str">
        <f t="shared" si="4"/>
        <v>Wind River_2</v>
      </c>
      <c r="C186" t="s">
        <v>31</v>
      </c>
      <c r="D186">
        <v>2</v>
      </c>
      <c r="E186">
        <v>146</v>
      </c>
      <c r="F186">
        <v>3</v>
      </c>
      <c r="H186" s="1">
        <v>114</v>
      </c>
      <c r="I186" s="3">
        <v>60726</v>
      </c>
      <c r="J186" s="3">
        <v>11441</v>
      </c>
      <c r="K186" s="2">
        <f>234.6+0.9</f>
        <v>235.5</v>
      </c>
      <c r="L186" s="2">
        <f t="shared" si="5"/>
        <v>20.779340400556549</v>
      </c>
      <c r="M186" s="1">
        <v>150</v>
      </c>
      <c r="N186" s="3">
        <f>93+7</f>
        <v>100</v>
      </c>
    </row>
    <row r="187" spans="1:14" x14ac:dyDescent="0.3">
      <c r="A187" t="s">
        <v>32</v>
      </c>
      <c r="B187" t="str">
        <f t="shared" si="4"/>
        <v>Wind River_2</v>
      </c>
      <c r="C187" t="s">
        <v>31</v>
      </c>
      <c r="D187">
        <v>2</v>
      </c>
      <c r="E187">
        <v>146</v>
      </c>
      <c r="F187">
        <v>3</v>
      </c>
      <c r="H187" s="1">
        <v>119</v>
      </c>
      <c r="I187" s="3">
        <v>64265</v>
      </c>
      <c r="J187" s="3">
        <v>11982</v>
      </c>
      <c r="K187" s="2">
        <f>243.7+1.2</f>
        <v>244.89999999999998</v>
      </c>
      <c r="L187" s="2">
        <f t="shared" si="5"/>
        <v>21.296738444345372</v>
      </c>
      <c r="M187" s="1">
        <v>153</v>
      </c>
      <c r="N187" s="3">
        <f>92+7</f>
        <v>99</v>
      </c>
    </row>
    <row r="188" spans="1:14" x14ac:dyDescent="0.3">
      <c r="A188" t="s">
        <v>32</v>
      </c>
      <c r="B188" t="str">
        <f t="shared" si="4"/>
        <v>Wind River_4</v>
      </c>
      <c r="C188" t="s">
        <v>31</v>
      </c>
      <c r="D188">
        <v>4</v>
      </c>
      <c r="E188">
        <v>148</v>
      </c>
      <c r="F188">
        <v>3</v>
      </c>
      <c r="H188" s="1">
        <v>72</v>
      </c>
      <c r="I188" s="3">
        <v>37400</v>
      </c>
      <c r="J188" s="3">
        <v>8952</v>
      </c>
      <c r="K188" s="2">
        <f>215+4</f>
        <v>219</v>
      </c>
      <c r="L188" s="2">
        <f t="shared" si="5"/>
        <v>14.349641581956915</v>
      </c>
      <c r="M188" s="1">
        <v>121</v>
      </c>
      <c r="N188" s="3">
        <f>185+10</f>
        <v>195</v>
      </c>
    </row>
    <row r="189" spans="1:14" x14ac:dyDescent="0.3">
      <c r="A189" t="s">
        <v>32</v>
      </c>
      <c r="B189" t="str">
        <f t="shared" si="4"/>
        <v>Wind River_4</v>
      </c>
      <c r="C189" t="s">
        <v>31</v>
      </c>
      <c r="D189">
        <v>4</v>
      </c>
      <c r="E189">
        <v>148</v>
      </c>
      <c r="F189">
        <v>3</v>
      </c>
      <c r="H189" s="1">
        <v>77</v>
      </c>
      <c r="I189" s="3">
        <v>44660</v>
      </c>
      <c r="J189" s="3">
        <v>10047</v>
      </c>
      <c r="K189" s="2">
        <f>231+2.6</f>
        <v>233.6</v>
      </c>
      <c r="L189" s="2">
        <f t="shared" si="5"/>
        <v>15.256812522246237</v>
      </c>
      <c r="M189" s="1">
        <v>124</v>
      </c>
      <c r="N189" s="3">
        <f>176+8</f>
        <v>184</v>
      </c>
    </row>
    <row r="190" spans="1:14" x14ac:dyDescent="0.3">
      <c r="A190" t="s">
        <v>32</v>
      </c>
      <c r="B190" t="str">
        <f t="shared" si="4"/>
        <v>Wind River_4</v>
      </c>
      <c r="C190" t="s">
        <v>31</v>
      </c>
      <c r="D190">
        <v>4</v>
      </c>
      <c r="E190">
        <v>148</v>
      </c>
      <c r="F190">
        <v>3</v>
      </c>
      <c r="H190" s="1">
        <v>83</v>
      </c>
      <c r="I190" s="3">
        <v>52640</v>
      </c>
      <c r="J190" s="3">
        <v>11344</v>
      </c>
      <c r="K190" s="2">
        <f>249.1+2.5</f>
        <v>251.6</v>
      </c>
      <c r="L190" s="2">
        <f t="shared" si="5"/>
        <v>16.098359407891962</v>
      </c>
      <c r="M190" s="1">
        <v>135</v>
      </c>
      <c r="N190" s="3">
        <f>171+7</f>
        <v>178</v>
      </c>
    </row>
    <row r="191" spans="1:14" x14ac:dyDescent="0.3">
      <c r="A191" t="s">
        <v>32</v>
      </c>
      <c r="B191" t="str">
        <f t="shared" si="4"/>
        <v>Wind River_4</v>
      </c>
      <c r="C191" t="s">
        <v>31</v>
      </c>
      <c r="D191">
        <v>4</v>
      </c>
      <c r="E191">
        <v>148</v>
      </c>
      <c r="F191">
        <v>3</v>
      </c>
      <c r="H191" s="1">
        <v>88</v>
      </c>
      <c r="I191" s="3">
        <v>59440</v>
      </c>
      <c r="J191" s="3">
        <v>12140</v>
      </c>
      <c r="K191" s="2">
        <f>254.1+2.5</f>
        <v>256.60000000000002</v>
      </c>
      <c r="L191" s="2">
        <f t="shared" si="5"/>
        <v>16.885839453629256</v>
      </c>
      <c r="M191" s="1">
        <v>140</v>
      </c>
      <c r="N191" s="3">
        <f>158+7</f>
        <v>165</v>
      </c>
    </row>
    <row r="192" spans="1:14" x14ac:dyDescent="0.3">
      <c r="A192" t="s">
        <v>32</v>
      </c>
      <c r="B192" t="str">
        <f t="shared" si="4"/>
        <v>Wind River_4</v>
      </c>
      <c r="C192" t="s">
        <v>31</v>
      </c>
      <c r="D192">
        <v>4</v>
      </c>
      <c r="E192">
        <v>148</v>
      </c>
      <c r="F192">
        <v>3</v>
      </c>
      <c r="H192" s="1">
        <v>93</v>
      </c>
      <c r="I192" s="3">
        <v>59630</v>
      </c>
      <c r="J192" s="3">
        <v>12265</v>
      </c>
      <c r="K192" s="2">
        <f>257.5+3</f>
        <v>260.5</v>
      </c>
      <c r="L192" s="2">
        <f t="shared" si="5"/>
        <v>17.331717577519527</v>
      </c>
      <c r="M192" s="1">
        <v>141</v>
      </c>
      <c r="N192" s="3">
        <f>151+8</f>
        <v>159</v>
      </c>
    </row>
    <row r="193" spans="1:14" x14ac:dyDescent="0.3">
      <c r="A193" t="s">
        <v>32</v>
      </c>
      <c r="B193" t="str">
        <f t="shared" si="4"/>
        <v>Wind River_4</v>
      </c>
      <c r="C193" t="s">
        <v>31</v>
      </c>
      <c r="D193">
        <v>4</v>
      </c>
      <c r="E193">
        <v>148</v>
      </c>
      <c r="F193">
        <v>3</v>
      </c>
      <c r="H193" s="1">
        <v>98</v>
      </c>
      <c r="I193" s="3">
        <v>65807</v>
      </c>
      <c r="J193" s="3">
        <v>12924</v>
      </c>
      <c r="K193" s="2">
        <f>264.8+4.5</f>
        <v>269.3</v>
      </c>
      <c r="L193" s="2">
        <f t="shared" si="5"/>
        <v>17.905816032735149</v>
      </c>
      <c r="M193" s="1">
        <v>147</v>
      </c>
      <c r="N193" s="3">
        <f>143+11</f>
        <v>154</v>
      </c>
    </row>
    <row r="194" spans="1:14" x14ac:dyDescent="0.3">
      <c r="A194" t="s">
        <v>32</v>
      </c>
      <c r="B194" t="str">
        <f t="shared" si="4"/>
        <v>Wind River_4</v>
      </c>
      <c r="C194" t="s">
        <v>31</v>
      </c>
      <c r="D194">
        <v>4</v>
      </c>
      <c r="E194">
        <v>148</v>
      </c>
      <c r="F194">
        <v>3</v>
      </c>
      <c r="H194" s="1">
        <v>103</v>
      </c>
      <c r="I194" s="3">
        <v>68268</v>
      </c>
      <c r="J194" s="3">
        <v>13191</v>
      </c>
      <c r="K194" s="2">
        <f>258.1+4.9</f>
        <v>263</v>
      </c>
      <c r="L194" s="2">
        <f t="shared" si="5"/>
        <v>18.558811396759122</v>
      </c>
      <c r="M194" s="1">
        <v>154</v>
      </c>
      <c r="N194" s="3">
        <f>129+11</f>
        <v>140</v>
      </c>
    </row>
    <row r="195" spans="1:14" x14ac:dyDescent="0.3">
      <c r="A195" t="s">
        <v>32</v>
      </c>
      <c r="B195" t="str">
        <f t="shared" ref="B195:B241" si="6">C195&amp;"_"&amp;D195</f>
        <v>Wind River_4</v>
      </c>
      <c r="C195" t="s">
        <v>31</v>
      </c>
      <c r="D195">
        <v>4</v>
      </c>
      <c r="E195">
        <v>148</v>
      </c>
      <c r="F195">
        <v>3</v>
      </c>
      <c r="H195" s="1">
        <v>109</v>
      </c>
      <c r="I195" s="3">
        <v>65872</v>
      </c>
      <c r="J195" s="3">
        <v>12588</v>
      </c>
      <c r="K195" s="2">
        <f>253.6+4.5</f>
        <v>258.10000000000002</v>
      </c>
      <c r="L195" s="2">
        <f t="shared" ref="L195:L241" si="7">IF(NOT(OR(ISBLANK(N195),ISBLANK(K195))),SQRT((K195/N195)/0.005454154),"")</f>
        <v>18.517858488911259</v>
      </c>
      <c r="M195" s="1">
        <v>156</v>
      </c>
      <c r="N195" s="3">
        <f>122+16</f>
        <v>138</v>
      </c>
    </row>
    <row r="196" spans="1:14" x14ac:dyDescent="0.3">
      <c r="A196" t="s">
        <v>32</v>
      </c>
      <c r="B196" t="str">
        <f t="shared" si="6"/>
        <v>Wind River_4</v>
      </c>
      <c r="C196" t="s">
        <v>31</v>
      </c>
      <c r="D196">
        <v>4</v>
      </c>
      <c r="E196">
        <v>148</v>
      </c>
      <c r="F196">
        <v>3</v>
      </c>
      <c r="H196" s="1">
        <v>114</v>
      </c>
      <c r="I196" s="3">
        <v>67845</v>
      </c>
      <c r="J196" s="3">
        <v>12727</v>
      </c>
      <c r="K196" s="2">
        <f>249.3+5.1</f>
        <v>254.4</v>
      </c>
      <c r="L196" s="2">
        <f t="shared" si="7"/>
        <v>18.941884285597958</v>
      </c>
      <c r="M196" s="1">
        <v>159</v>
      </c>
      <c r="N196" s="3">
        <f>113+17</f>
        <v>130</v>
      </c>
    </row>
    <row r="197" spans="1:14" x14ac:dyDescent="0.3">
      <c r="A197" t="s">
        <v>32</v>
      </c>
      <c r="B197" t="str">
        <f t="shared" si="6"/>
        <v>Wind River_4</v>
      </c>
      <c r="C197" t="s">
        <v>31</v>
      </c>
      <c r="D197">
        <v>4</v>
      </c>
      <c r="E197">
        <v>148</v>
      </c>
      <c r="F197">
        <v>3</v>
      </c>
      <c r="H197" s="1">
        <v>119</v>
      </c>
      <c r="I197" s="3">
        <v>70304</v>
      </c>
      <c r="J197" s="3">
        <v>13049</v>
      </c>
      <c r="K197" s="2">
        <f>253+6.8</f>
        <v>259.8</v>
      </c>
      <c r="L197" s="2">
        <f t="shared" si="7"/>
        <v>18.924745802698247</v>
      </c>
      <c r="M197" s="1">
        <v>163</v>
      </c>
      <c r="N197" s="3">
        <f>112+21</f>
        <v>133</v>
      </c>
    </row>
    <row r="198" spans="1:14" x14ac:dyDescent="0.3">
      <c r="A198" t="s">
        <v>32</v>
      </c>
      <c r="B198" t="str">
        <f t="shared" si="6"/>
        <v>Wind River_5</v>
      </c>
      <c r="C198" t="s">
        <v>31</v>
      </c>
      <c r="D198">
        <v>5</v>
      </c>
      <c r="E198">
        <v>150</v>
      </c>
      <c r="F198">
        <v>3</v>
      </c>
      <c r="H198" s="1">
        <v>72</v>
      </c>
      <c r="I198" s="3">
        <v>48130</v>
      </c>
      <c r="J198" s="3">
        <v>10292</v>
      </c>
      <c r="K198" s="2">
        <f>232.4+0.8</f>
        <v>233.20000000000002</v>
      </c>
      <c r="L198" s="2">
        <f t="shared" si="7"/>
        <v>16.195962879864652</v>
      </c>
      <c r="M198" s="1">
        <v>133</v>
      </c>
      <c r="N198" s="3">
        <f>157+6</f>
        <v>163</v>
      </c>
    </row>
    <row r="199" spans="1:14" x14ac:dyDescent="0.3">
      <c r="A199" t="s">
        <v>32</v>
      </c>
      <c r="B199" t="str">
        <f t="shared" si="6"/>
        <v>Wind River_5</v>
      </c>
      <c r="C199" t="s">
        <v>31</v>
      </c>
      <c r="D199">
        <v>5</v>
      </c>
      <c r="E199">
        <v>150</v>
      </c>
      <c r="F199">
        <v>3</v>
      </c>
      <c r="H199" s="1">
        <v>77</v>
      </c>
      <c r="I199" s="3">
        <v>55630</v>
      </c>
      <c r="J199" s="3">
        <v>11490</v>
      </c>
      <c r="K199" s="2">
        <f>253.7+1.2</f>
        <v>254.89999999999998</v>
      </c>
      <c r="L199" s="2">
        <f t="shared" si="7"/>
        <v>17.090754204268915</v>
      </c>
      <c r="M199" s="1">
        <v>132</v>
      </c>
      <c r="N199" s="3">
        <f>154+6</f>
        <v>160</v>
      </c>
    </row>
    <row r="200" spans="1:14" x14ac:dyDescent="0.3">
      <c r="A200" t="s">
        <v>32</v>
      </c>
      <c r="B200" t="str">
        <f t="shared" si="6"/>
        <v>Wind River_5</v>
      </c>
      <c r="C200" t="s">
        <v>31</v>
      </c>
      <c r="D200">
        <v>5</v>
      </c>
      <c r="E200">
        <v>150</v>
      </c>
      <c r="F200">
        <v>3</v>
      </c>
      <c r="H200" s="1">
        <v>83</v>
      </c>
      <c r="I200" s="3">
        <v>63200</v>
      </c>
      <c r="J200" s="3">
        <v>12651</v>
      </c>
      <c r="K200" s="2">
        <f>275.7+1.5</f>
        <v>277.2</v>
      </c>
      <c r="L200" s="2">
        <f t="shared" si="7"/>
        <v>17.992151056552814</v>
      </c>
      <c r="M200" s="1">
        <v>138</v>
      </c>
      <c r="N200" s="3">
        <f>151+6</f>
        <v>157</v>
      </c>
    </row>
    <row r="201" spans="1:14" x14ac:dyDescent="0.3">
      <c r="A201" t="s">
        <v>32</v>
      </c>
      <c r="B201" t="str">
        <f t="shared" si="6"/>
        <v>Wind River_5</v>
      </c>
      <c r="C201" t="s">
        <v>31</v>
      </c>
      <c r="D201">
        <v>5</v>
      </c>
      <c r="E201">
        <v>150</v>
      </c>
      <c r="F201">
        <v>3</v>
      </c>
      <c r="H201" s="1">
        <v>88</v>
      </c>
      <c r="I201" s="3">
        <v>68810</v>
      </c>
      <c r="J201" s="3">
        <v>13712</v>
      </c>
      <c r="K201" s="2">
        <f>289.9+1.5</f>
        <v>291.39999999999998</v>
      </c>
      <c r="L201" s="2">
        <f t="shared" si="7"/>
        <v>18.810164862102901</v>
      </c>
      <c r="M201" s="1">
        <v>143</v>
      </c>
      <c r="N201" s="3">
        <f>145+6</f>
        <v>151</v>
      </c>
    </row>
    <row r="202" spans="1:14" x14ac:dyDescent="0.3">
      <c r="A202" t="s">
        <v>32</v>
      </c>
      <c r="B202" t="str">
        <f t="shared" si="6"/>
        <v>Wind River_5</v>
      </c>
      <c r="C202" t="s">
        <v>31</v>
      </c>
      <c r="D202">
        <v>5</v>
      </c>
      <c r="E202">
        <v>150</v>
      </c>
      <c r="F202">
        <v>3</v>
      </c>
      <c r="H202" s="1">
        <v>93</v>
      </c>
      <c r="I202" s="3">
        <v>66310</v>
      </c>
      <c r="J202" s="3">
        <v>12820</v>
      </c>
      <c r="K202" s="2">
        <f>266.6+2.2</f>
        <v>268.8</v>
      </c>
      <c r="L202" s="2">
        <f t="shared" si="7"/>
        <v>18.966650892977963</v>
      </c>
      <c r="M202" s="1">
        <v>144</v>
      </c>
      <c r="N202" s="3">
        <f>127+10</f>
        <v>137</v>
      </c>
    </row>
    <row r="203" spans="1:14" x14ac:dyDescent="0.3">
      <c r="A203" t="s">
        <v>32</v>
      </c>
      <c r="B203" t="str">
        <f t="shared" si="6"/>
        <v>Wind River_5</v>
      </c>
      <c r="C203" t="s">
        <v>31</v>
      </c>
      <c r="D203">
        <v>5</v>
      </c>
      <c r="E203">
        <v>150</v>
      </c>
      <c r="F203">
        <v>3</v>
      </c>
      <c r="H203" s="1">
        <v>98</v>
      </c>
      <c r="I203" s="3">
        <v>64433</v>
      </c>
      <c r="J203" s="3">
        <v>12323</v>
      </c>
      <c r="K203" s="2">
        <f>254+1</f>
        <v>255</v>
      </c>
      <c r="L203" s="2">
        <f t="shared" si="7"/>
        <v>19.496373507366997</v>
      </c>
      <c r="M203" s="1">
        <v>149</v>
      </c>
      <c r="N203" s="3">
        <f>114+9</f>
        <v>123</v>
      </c>
    </row>
    <row r="204" spans="1:14" x14ac:dyDescent="0.3">
      <c r="A204" t="s">
        <v>32</v>
      </c>
      <c r="B204" t="str">
        <f t="shared" si="6"/>
        <v>Wind River_5</v>
      </c>
      <c r="C204" t="s">
        <v>31</v>
      </c>
      <c r="D204">
        <v>5</v>
      </c>
      <c r="E204">
        <v>150</v>
      </c>
      <c r="F204">
        <v>3</v>
      </c>
      <c r="H204" s="1">
        <v>103</v>
      </c>
      <c r="I204" s="3">
        <v>64715</v>
      </c>
      <c r="J204" s="3">
        <v>12265</v>
      </c>
      <c r="K204" s="2">
        <f>248.7+3.8</f>
        <v>252.5</v>
      </c>
      <c r="L204" s="2">
        <f t="shared" si="7"/>
        <v>19.723932718400334</v>
      </c>
      <c r="M204" s="1">
        <v>162</v>
      </c>
      <c r="N204" s="3">
        <f>107+12</f>
        <v>119</v>
      </c>
    </row>
    <row r="205" spans="1:14" x14ac:dyDescent="0.3">
      <c r="A205" t="s">
        <v>32</v>
      </c>
      <c r="B205" t="str">
        <f t="shared" si="6"/>
        <v>Wind River_5</v>
      </c>
      <c r="C205" t="s">
        <v>31</v>
      </c>
      <c r="D205">
        <v>5</v>
      </c>
      <c r="E205">
        <v>150</v>
      </c>
      <c r="F205">
        <v>3</v>
      </c>
      <c r="H205" s="1">
        <v>109</v>
      </c>
      <c r="I205" s="3">
        <v>67984</v>
      </c>
      <c r="J205" s="3">
        <v>12765</v>
      </c>
      <c r="K205" s="2">
        <f>268.4+3.7</f>
        <v>272.09999999999997</v>
      </c>
      <c r="L205" s="2">
        <f t="shared" si="7"/>
        <v>19.440776487390963</v>
      </c>
      <c r="M205" s="1">
        <v>163</v>
      </c>
      <c r="N205" s="3">
        <f>112+20</f>
        <v>132</v>
      </c>
    </row>
    <row r="206" spans="1:14" x14ac:dyDescent="0.3">
      <c r="A206" t="s">
        <v>32</v>
      </c>
      <c r="B206" t="str">
        <f t="shared" si="6"/>
        <v>Wind River_5</v>
      </c>
      <c r="C206" t="s">
        <v>31</v>
      </c>
      <c r="D206">
        <v>5</v>
      </c>
      <c r="E206">
        <v>150</v>
      </c>
      <c r="F206">
        <v>3</v>
      </c>
      <c r="H206" s="1">
        <v>114</v>
      </c>
      <c r="I206" s="3">
        <v>70404</v>
      </c>
      <c r="J206" s="3">
        <v>12995</v>
      </c>
      <c r="K206" s="2">
        <f>258.5+8.4</f>
        <v>266.89999999999998</v>
      </c>
      <c r="L206" s="2">
        <f t="shared" si="7"/>
        <v>18.434414258037002</v>
      </c>
      <c r="M206" s="1">
        <v>158</v>
      </c>
      <c r="N206" s="3">
        <f>115+29</f>
        <v>144</v>
      </c>
    </row>
    <row r="207" spans="1:14" x14ac:dyDescent="0.3">
      <c r="A207" t="s">
        <v>32</v>
      </c>
      <c r="B207" t="str">
        <f t="shared" si="6"/>
        <v>Wind River_5</v>
      </c>
      <c r="C207" t="s">
        <v>31</v>
      </c>
      <c r="D207">
        <v>5</v>
      </c>
      <c r="E207">
        <v>150</v>
      </c>
      <c r="F207">
        <v>3</v>
      </c>
      <c r="H207" s="1">
        <v>119</v>
      </c>
      <c r="I207" s="3">
        <v>73067</v>
      </c>
      <c r="J207" s="3">
        <v>13577</v>
      </c>
      <c r="K207" s="2">
        <f>271+10.6</f>
        <v>281.60000000000002</v>
      </c>
      <c r="L207" s="2">
        <f t="shared" si="7"/>
        <v>18.369905057084612</v>
      </c>
      <c r="M207" s="1">
        <v>159</v>
      </c>
      <c r="N207" s="3">
        <f>120+33</f>
        <v>153</v>
      </c>
    </row>
    <row r="208" spans="1:14" x14ac:dyDescent="0.3">
      <c r="A208" t="s">
        <v>32</v>
      </c>
      <c r="B208" t="str">
        <f t="shared" si="6"/>
        <v>Wind River_9</v>
      </c>
      <c r="C208" t="s">
        <v>31</v>
      </c>
      <c r="D208">
        <v>9</v>
      </c>
      <c r="E208">
        <v>122</v>
      </c>
      <c r="F208">
        <v>4</v>
      </c>
      <c r="H208" s="1">
        <v>83</v>
      </c>
      <c r="I208" s="3">
        <v>37830</v>
      </c>
      <c r="J208" s="3">
        <v>9190</v>
      </c>
      <c r="K208" s="2">
        <f>227.6+6.6</f>
        <v>234.2</v>
      </c>
      <c r="L208" s="2">
        <f t="shared" si="7"/>
        <v>13.723419013737949</v>
      </c>
      <c r="M208" s="1">
        <v>118</v>
      </c>
      <c r="N208" s="3">
        <f>210+18</f>
        <v>228</v>
      </c>
    </row>
    <row r="209" spans="1:14" x14ac:dyDescent="0.3">
      <c r="A209" t="s">
        <v>32</v>
      </c>
      <c r="B209" t="str">
        <f t="shared" si="6"/>
        <v>Wind River_9</v>
      </c>
      <c r="C209" t="s">
        <v>31</v>
      </c>
      <c r="D209">
        <v>9</v>
      </c>
      <c r="E209">
        <v>122</v>
      </c>
      <c r="F209">
        <v>4</v>
      </c>
      <c r="H209" s="1">
        <v>88</v>
      </c>
      <c r="I209" s="3">
        <v>38378</v>
      </c>
      <c r="J209" s="3">
        <v>9139</v>
      </c>
      <c r="K209" s="2">
        <f>232.9+7.9</f>
        <v>240.8</v>
      </c>
      <c r="L209" s="2">
        <f t="shared" si="7"/>
        <v>14.329971056490592</v>
      </c>
      <c r="M209" s="1">
        <v>114</v>
      </c>
      <c r="N209" s="3">
        <f>197+18</f>
        <v>215</v>
      </c>
    </row>
    <row r="210" spans="1:14" x14ac:dyDescent="0.3">
      <c r="A210" t="s">
        <v>32</v>
      </c>
      <c r="B210" t="str">
        <f t="shared" si="6"/>
        <v>Wind River_9</v>
      </c>
      <c r="C210" t="s">
        <v>31</v>
      </c>
      <c r="D210">
        <v>9</v>
      </c>
      <c r="E210">
        <v>122</v>
      </c>
      <c r="F210">
        <v>4</v>
      </c>
      <c r="H210" s="1">
        <v>93</v>
      </c>
      <c r="I210" s="3">
        <v>39414</v>
      </c>
      <c r="J210" s="3">
        <v>9172</v>
      </c>
      <c r="K210" s="2">
        <f>227.1+8.6</f>
        <v>235.7</v>
      </c>
      <c r="L210" s="2">
        <f t="shared" si="7"/>
        <v>14.66283894757723</v>
      </c>
      <c r="M210" s="1">
        <v>117</v>
      </c>
      <c r="N210" s="3">
        <f>182+19</f>
        <v>201</v>
      </c>
    </row>
    <row r="211" spans="1:14" x14ac:dyDescent="0.3">
      <c r="A211" t="s">
        <v>32</v>
      </c>
      <c r="B211" t="str">
        <f t="shared" si="6"/>
        <v>Wind River_9</v>
      </c>
      <c r="C211" t="s">
        <v>31</v>
      </c>
      <c r="D211">
        <v>9</v>
      </c>
      <c r="E211">
        <v>122</v>
      </c>
      <c r="F211">
        <v>4</v>
      </c>
      <c r="H211" s="1">
        <v>98</v>
      </c>
      <c r="I211" s="3">
        <v>40858</v>
      </c>
      <c r="J211" s="3">
        <v>9210</v>
      </c>
      <c r="K211" s="2">
        <f>220.7+8.2</f>
        <v>228.89999999999998</v>
      </c>
      <c r="L211" s="2">
        <f t="shared" si="7"/>
        <v>15.185304475108945</v>
      </c>
      <c r="M211" s="1">
        <v>121</v>
      </c>
      <c r="N211" s="3">
        <f>165+17</f>
        <v>182</v>
      </c>
    </row>
    <row r="212" spans="1:14" x14ac:dyDescent="0.3">
      <c r="A212" t="s">
        <v>32</v>
      </c>
      <c r="B212" t="str">
        <f t="shared" si="6"/>
        <v>Wind River_9</v>
      </c>
      <c r="C212" t="s">
        <v>31</v>
      </c>
      <c r="D212">
        <v>9</v>
      </c>
      <c r="E212">
        <v>122</v>
      </c>
      <c r="F212">
        <v>4</v>
      </c>
      <c r="H212" s="1">
        <v>103</v>
      </c>
      <c r="I212" s="3">
        <v>43473</v>
      </c>
      <c r="J212" s="3">
        <v>9711</v>
      </c>
      <c r="K212" s="2">
        <f>229.7+9</f>
        <v>238.7</v>
      </c>
      <c r="L212" s="2">
        <f t="shared" si="7"/>
        <v>15.422458130536482</v>
      </c>
      <c r="M212" s="1">
        <v>123</v>
      </c>
      <c r="N212" s="3">
        <f>164+20</f>
        <v>184</v>
      </c>
    </row>
    <row r="213" spans="1:14" x14ac:dyDescent="0.3">
      <c r="A213" t="s">
        <v>32</v>
      </c>
      <c r="B213" t="str">
        <f t="shared" si="6"/>
        <v>Wind River_9</v>
      </c>
      <c r="C213" t="s">
        <v>31</v>
      </c>
      <c r="D213">
        <v>9</v>
      </c>
      <c r="E213">
        <v>122</v>
      </c>
      <c r="F213">
        <v>4</v>
      </c>
      <c r="H213" s="1">
        <v>109</v>
      </c>
      <c r="I213" s="3">
        <v>46625</v>
      </c>
      <c r="J213" s="3">
        <v>10292</v>
      </c>
      <c r="K213" s="2">
        <f>221.6+12.4</f>
        <v>234</v>
      </c>
      <c r="L213" s="2">
        <f t="shared" si="7"/>
        <v>14.795041745802978</v>
      </c>
      <c r="M213" s="1">
        <v>125</v>
      </c>
      <c r="N213" s="3">
        <f>170+26</f>
        <v>196</v>
      </c>
    </row>
    <row r="214" spans="1:14" x14ac:dyDescent="0.3">
      <c r="A214" t="s">
        <v>32</v>
      </c>
      <c r="B214" t="str">
        <f t="shared" si="6"/>
        <v>Wind River_9</v>
      </c>
      <c r="C214" t="s">
        <v>31</v>
      </c>
      <c r="D214">
        <v>9</v>
      </c>
      <c r="E214">
        <v>122</v>
      </c>
      <c r="F214">
        <v>4</v>
      </c>
      <c r="H214" s="1">
        <v>114</v>
      </c>
      <c r="I214" s="3">
        <v>49445</v>
      </c>
      <c r="J214" s="3">
        <v>10765</v>
      </c>
      <c r="K214" s="2">
        <f>247.1+13.1</f>
        <v>260.2</v>
      </c>
      <c r="L214" s="2">
        <f t="shared" si="7"/>
        <v>15.887627392745747</v>
      </c>
      <c r="M214" s="1">
        <v>127</v>
      </c>
      <c r="N214" s="3">
        <f>164+25</f>
        <v>189</v>
      </c>
    </row>
    <row r="215" spans="1:14" x14ac:dyDescent="0.3">
      <c r="A215" t="s">
        <v>32</v>
      </c>
      <c r="B215" t="str">
        <f t="shared" si="6"/>
        <v>Wind River_9</v>
      </c>
      <c r="C215" t="s">
        <v>31</v>
      </c>
      <c r="D215">
        <v>9</v>
      </c>
      <c r="E215">
        <v>122</v>
      </c>
      <c r="F215">
        <v>4</v>
      </c>
      <c r="H215" s="1">
        <v>119</v>
      </c>
      <c r="I215" s="3">
        <v>48824</v>
      </c>
      <c r="J215" s="3">
        <v>10476</v>
      </c>
      <c r="K215" s="2">
        <f>240.3+11.8</f>
        <v>252.10000000000002</v>
      </c>
      <c r="L215" s="2">
        <f t="shared" si="7"/>
        <v>16.298517404387994</v>
      </c>
      <c r="M215" s="1">
        <v>128</v>
      </c>
      <c r="N215" s="3">
        <f>152+22</f>
        <v>174</v>
      </c>
    </row>
    <row r="216" spans="1:14" x14ac:dyDescent="0.3">
      <c r="A216" t="s">
        <v>32</v>
      </c>
      <c r="B216" t="str">
        <f t="shared" si="6"/>
        <v>Wind River_90</v>
      </c>
      <c r="C216" t="s">
        <v>31</v>
      </c>
      <c r="D216">
        <v>90</v>
      </c>
      <c r="E216">
        <v>157</v>
      </c>
      <c r="F216">
        <v>2</v>
      </c>
      <c r="H216" s="1">
        <v>98</v>
      </c>
      <c r="I216" s="3">
        <v>77908</v>
      </c>
      <c r="J216" s="3">
        <v>14756</v>
      </c>
      <c r="K216" s="2">
        <f>285+43.9</f>
        <v>328.9</v>
      </c>
      <c r="L216" s="2">
        <f t="shared" si="7"/>
        <v>18.778901476616511</v>
      </c>
      <c r="M216" s="1">
        <v>152</v>
      </c>
      <c r="N216" s="3">
        <f>138+33</f>
        <v>171</v>
      </c>
    </row>
    <row r="217" spans="1:14" x14ac:dyDescent="0.3">
      <c r="A217" t="s">
        <v>32</v>
      </c>
      <c r="B217" t="str">
        <f t="shared" si="6"/>
        <v>Wind River_90</v>
      </c>
      <c r="C217" t="s">
        <v>31</v>
      </c>
      <c r="D217">
        <v>90</v>
      </c>
      <c r="E217">
        <v>157</v>
      </c>
      <c r="F217">
        <v>2</v>
      </c>
      <c r="H217" s="1">
        <v>103</v>
      </c>
      <c r="I217" s="3">
        <v>83577</v>
      </c>
      <c r="J217" s="3">
        <v>15463</v>
      </c>
      <c r="K217" s="2">
        <f>295+43.9</f>
        <v>338.9</v>
      </c>
      <c r="L217" s="2">
        <f t="shared" si="7"/>
        <v>19.584594280808339</v>
      </c>
      <c r="M217" s="1">
        <v>155</v>
      </c>
      <c r="N217" s="3">
        <f>132+30</f>
        <v>162</v>
      </c>
    </row>
    <row r="218" spans="1:14" x14ac:dyDescent="0.3">
      <c r="A218" t="s">
        <v>32</v>
      </c>
      <c r="B218" t="str">
        <f t="shared" si="6"/>
        <v>Wind River_90</v>
      </c>
      <c r="C218" t="s">
        <v>31</v>
      </c>
      <c r="D218">
        <v>90</v>
      </c>
      <c r="E218">
        <v>157</v>
      </c>
      <c r="F218">
        <v>2</v>
      </c>
      <c r="H218" s="1">
        <v>109</v>
      </c>
      <c r="I218" s="3">
        <v>88811</v>
      </c>
      <c r="J218" s="3">
        <v>16518</v>
      </c>
      <c r="K218" s="2">
        <f>309.5+44.1</f>
        <v>353.6</v>
      </c>
      <c r="L218" s="2">
        <f t="shared" si="7"/>
        <v>19.943373731482602</v>
      </c>
      <c r="M218" s="1">
        <v>159</v>
      </c>
      <c r="N218" s="3">
        <f>133+30</f>
        <v>163</v>
      </c>
    </row>
    <row r="219" spans="1:14" x14ac:dyDescent="0.3">
      <c r="A219" t="s">
        <v>32</v>
      </c>
      <c r="B219" t="str">
        <f t="shared" si="6"/>
        <v>Wind River_90</v>
      </c>
      <c r="C219" t="s">
        <v>31</v>
      </c>
      <c r="D219">
        <v>90</v>
      </c>
      <c r="E219">
        <v>157</v>
      </c>
      <c r="F219">
        <v>2</v>
      </c>
      <c r="H219" s="1">
        <v>114</v>
      </c>
      <c r="I219" s="3">
        <v>93475</v>
      </c>
      <c r="J219" s="3">
        <v>16470</v>
      </c>
      <c r="K219" s="2">
        <f>304.9+49.9</f>
        <v>354.79999999999995</v>
      </c>
      <c r="L219" s="2">
        <f t="shared" si="7"/>
        <v>20.55264623909968</v>
      </c>
      <c r="M219" s="1">
        <v>167</v>
      </c>
      <c r="N219" s="3">
        <f>122+32</f>
        <v>154</v>
      </c>
    </row>
    <row r="220" spans="1:14" x14ac:dyDescent="0.3">
      <c r="A220" t="s">
        <v>32</v>
      </c>
      <c r="B220" t="str">
        <f t="shared" si="6"/>
        <v>Wind River_90</v>
      </c>
      <c r="C220" t="s">
        <v>31</v>
      </c>
      <c r="D220">
        <v>90</v>
      </c>
      <c r="E220">
        <v>157</v>
      </c>
      <c r="F220">
        <v>2</v>
      </c>
      <c r="H220" s="1">
        <v>119</v>
      </c>
      <c r="I220" s="3">
        <v>95653</v>
      </c>
      <c r="J220" s="3">
        <v>16869</v>
      </c>
      <c r="K220" s="2">
        <f>306.7+46.8</f>
        <v>353.5</v>
      </c>
      <c r="L220" s="2">
        <f t="shared" si="7"/>
        <v>20.856329370242381</v>
      </c>
      <c r="M220" s="1">
        <v>166</v>
      </c>
      <c r="N220" s="3">
        <f>118+31</f>
        <v>149</v>
      </c>
    </row>
    <row r="221" spans="1:14" x14ac:dyDescent="0.3">
      <c r="A221" t="s">
        <v>33</v>
      </c>
      <c r="B221" t="str">
        <f t="shared" si="6"/>
        <v>Stampede Creek_61</v>
      </c>
      <c r="C221" t="s">
        <v>18</v>
      </c>
      <c r="D221">
        <v>61</v>
      </c>
      <c r="F221">
        <v>3</v>
      </c>
      <c r="G221">
        <v>111</v>
      </c>
      <c r="H221">
        <v>33</v>
      </c>
      <c r="I221" s="3">
        <v>1874</v>
      </c>
      <c r="J221" s="3">
        <v>2455</v>
      </c>
      <c r="K221" s="2">
        <v>121.7</v>
      </c>
      <c r="L221" s="2">
        <f t="shared" si="7"/>
        <v>4.6431361231916854</v>
      </c>
      <c r="M221" s="1">
        <v>59.5</v>
      </c>
      <c r="N221" s="3">
        <v>1035</v>
      </c>
    </row>
    <row r="222" spans="1:14" x14ac:dyDescent="0.3">
      <c r="A222" t="s">
        <v>33</v>
      </c>
      <c r="B222" t="str">
        <f t="shared" si="6"/>
        <v>Stampede Creek_61</v>
      </c>
      <c r="C222" t="s">
        <v>18</v>
      </c>
      <c r="D222">
        <v>61</v>
      </c>
      <c r="F222">
        <v>3</v>
      </c>
      <c r="G222">
        <v>111</v>
      </c>
      <c r="H222">
        <v>38</v>
      </c>
      <c r="I222" s="3">
        <v>6385</v>
      </c>
      <c r="J222" s="3">
        <v>3654</v>
      </c>
      <c r="K222" s="2">
        <v>153.6</v>
      </c>
      <c r="L222" s="2">
        <f t="shared" si="7"/>
        <v>5.4021700777169972</v>
      </c>
      <c r="M222" s="1">
        <v>70.099999999999994</v>
      </c>
      <c r="N222" s="3">
        <v>965</v>
      </c>
    </row>
    <row r="223" spans="1:14" x14ac:dyDescent="0.3">
      <c r="A223" t="s">
        <v>33</v>
      </c>
      <c r="B223" t="str">
        <f t="shared" si="6"/>
        <v>Stampede Creek_61</v>
      </c>
      <c r="C223" t="s">
        <v>18</v>
      </c>
      <c r="D223">
        <v>61</v>
      </c>
      <c r="F223">
        <v>3</v>
      </c>
      <c r="G223">
        <v>111</v>
      </c>
      <c r="H223">
        <v>43</v>
      </c>
      <c r="I223" s="3">
        <v>11974</v>
      </c>
      <c r="J223" s="3">
        <v>5175</v>
      </c>
      <c r="K223" s="2">
        <v>186.2</v>
      </c>
      <c r="L223" s="2">
        <f t="shared" si="7"/>
        <v>6.3005275450290865</v>
      </c>
      <c r="M223" s="1">
        <v>81</v>
      </c>
      <c r="N223" s="3">
        <v>860</v>
      </c>
    </row>
    <row r="224" spans="1:14" x14ac:dyDescent="0.3">
      <c r="A224" t="s">
        <v>33</v>
      </c>
      <c r="B224" t="str">
        <f t="shared" si="6"/>
        <v>Stampede Creek_61</v>
      </c>
      <c r="C224" t="s">
        <v>18</v>
      </c>
      <c r="D224">
        <v>61</v>
      </c>
      <c r="F224">
        <v>3</v>
      </c>
      <c r="G224">
        <v>111</v>
      </c>
      <c r="H224">
        <v>48</v>
      </c>
      <c r="I224" s="3">
        <v>20266</v>
      </c>
      <c r="J224" s="3">
        <v>6780</v>
      </c>
      <c r="K224" s="2">
        <v>212</v>
      </c>
      <c r="L224" s="2">
        <f t="shared" si="7"/>
        <v>7.5884372272921121</v>
      </c>
      <c r="M224" s="1">
        <v>90.2</v>
      </c>
      <c r="N224" s="3">
        <v>675</v>
      </c>
    </row>
    <row r="225" spans="1:14" x14ac:dyDescent="0.3">
      <c r="A225" t="s">
        <v>33</v>
      </c>
      <c r="B225" t="str">
        <f t="shared" si="6"/>
        <v>Stampede Creek_61</v>
      </c>
      <c r="C225" t="s">
        <v>18</v>
      </c>
      <c r="D225">
        <v>61</v>
      </c>
      <c r="F225">
        <v>3</v>
      </c>
      <c r="G225">
        <v>111</v>
      </c>
      <c r="H225">
        <v>53</v>
      </c>
      <c r="I225" s="3">
        <v>28682</v>
      </c>
      <c r="J225" s="3">
        <v>8415</v>
      </c>
      <c r="K225" s="2">
        <v>232.1</v>
      </c>
      <c r="L225" s="2">
        <f t="shared" si="7"/>
        <v>9.2719540918326224</v>
      </c>
      <c r="M225" s="1">
        <v>100.4</v>
      </c>
      <c r="N225" s="3">
        <v>495</v>
      </c>
    </row>
    <row r="226" spans="1:14" x14ac:dyDescent="0.3">
      <c r="A226" t="s">
        <v>33</v>
      </c>
      <c r="B226" t="str">
        <f t="shared" si="6"/>
        <v>Stampede Creek_61</v>
      </c>
      <c r="C226" t="s">
        <v>18</v>
      </c>
      <c r="D226">
        <v>61</v>
      </c>
      <c r="F226">
        <v>3</v>
      </c>
      <c r="G226">
        <v>111</v>
      </c>
      <c r="H226">
        <v>58</v>
      </c>
      <c r="I226" s="3">
        <v>37400</v>
      </c>
      <c r="J226" s="3">
        <v>9823</v>
      </c>
      <c r="K226" s="2">
        <v>247</v>
      </c>
      <c r="L226" s="2">
        <f t="shared" si="7"/>
        <v>10.640322293106152</v>
      </c>
      <c r="M226" s="1">
        <v>109.5</v>
      </c>
      <c r="N226" s="3">
        <v>400</v>
      </c>
    </row>
    <row r="227" spans="1:14" x14ac:dyDescent="0.3">
      <c r="A227" t="s">
        <v>33</v>
      </c>
      <c r="B227" t="str">
        <f t="shared" si="6"/>
        <v>Stampede Creek_61</v>
      </c>
      <c r="C227" t="s">
        <v>18</v>
      </c>
      <c r="D227">
        <v>61</v>
      </c>
      <c r="F227">
        <v>3</v>
      </c>
      <c r="G227">
        <v>111</v>
      </c>
      <c r="H227">
        <v>63</v>
      </c>
      <c r="I227" s="3">
        <v>45825</v>
      </c>
      <c r="J227" s="3">
        <v>11493</v>
      </c>
      <c r="K227" s="2">
        <v>271</v>
      </c>
      <c r="L227" s="2">
        <f t="shared" si="7"/>
        <v>12.000833207361685</v>
      </c>
      <c r="M227" s="1">
        <v>117.3</v>
      </c>
      <c r="N227" s="3">
        <v>345</v>
      </c>
    </row>
    <row r="228" spans="1:14" x14ac:dyDescent="0.3">
      <c r="A228" t="s">
        <v>33</v>
      </c>
      <c r="B228" t="str">
        <f t="shared" si="6"/>
        <v>Stampede Creek_105</v>
      </c>
      <c r="C228" t="s">
        <v>18</v>
      </c>
      <c r="D228">
        <v>105</v>
      </c>
      <c r="F228">
        <v>3</v>
      </c>
      <c r="G228">
        <v>111</v>
      </c>
      <c r="H228">
        <v>33</v>
      </c>
      <c r="I228" s="3">
        <v>2388</v>
      </c>
      <c r="J228" s="3">
        <v>2211</v>
      </c>
      <c r="K228" s="2">
        <v>107.7</v>
      </c>
      <c r="L228" s="2">
        <f t="shared" si="7"/>
        <v>4.8341018801445417</v>
      </c>
      <c r="M228" s="1">
        <v>60.6</v>
      </c>
      <c r="N228" s="3">
        <v>845</v>
      </c>
    </row>
    <row r="229" spans="1:14" x14ac:dyDescent="0.3">
      <c r="A229" t="s">
        <v>33</v>
      </c>
      <c r="B229" t="str">
        <f t="shared" si="6"/>
        <v>Stampede Creek_105</v>
      </c>
      <c r="C229" t="s">
        <v>18</v>
      </c>
      <c r="D229">
        <v>105</v>
      </c>
      <c r="F229">
        <v>3</v>
      </c>
      <c r="G229">
        <v>111</v>
      </c>
      <c r="H229">
        <v>38</v>
      </c>
      <c r="I229" s="3">
        <v>5141</v>
      </c>
      <c r="J229" s="3">
        <v>3316</v>
      </c>
      <c r="K229" s="2">
        <v>138.30000000000001</v>
      </c>
      <c r="L229" s="2">
        <f t="shared" si="7"/>
        <v>5.5272402942517864</v>
      </c>
      <c r="M229" s="1">
        <v>70.8</v>
      </c>
      <c r="N229" s="3">
        <v>830</v>
      </c>
    </row>
    <row r="230" spans="1:14" x14ac:dyDescent="0.3">
      <c r="A230" t="s">
        <v>33</v>
      </c>
      <c r="B230" t="str">
        <f t="shared" si="6"/>
        <v>Stampede Creek_105</v>
      </c>
      <c r="C230" t="s">
        <v>18</v>
      </c>
      <c r="D230">
        <v>105</v>
      </c>
      <c r="F230">
        <v>3</v>
      </c>
      <c r="G230">
        <v>111</v>
      </c>
      <c r="H230">
        <v>43</v>
      </c>
      <c r="I230" s="3">
        <v>10754</v>
      </c>
      <c r="J230" s="3">
        <v>4609</v>
      </c>
      <c r="K230" s="2">
        <v>165.9</v>
      </c>
      <c r="L230" s="2">
        <f t="shared" si="7"/>
        <v>6.3897130981195485</v>
      </c>
      <c r="M230" s="1">
        <v>81.099999999999994</v>
      </c>
      <c r="N230" s="3">
        <v>745</v>
      </c>
    </row>
    <row r="231" spans="1:14" x14ac:dyDescent="0.3">
      <c r="A231" t="s">
        <v>33</v>
      </c>
      <c r="B231" t="str">
        <f t="shared" si="6"/>
        <v>Stampede Creek_105</v>
      </c>
      <c r="C231" t="s">
        <v>18</v>
      </c>
      <c r="D231">
        <v>105</v>
      </c>
      <c r="F231">
        <v>3</v>
      </c>
      <c r="G231">
        <v>111</v>
      </c>
      <c r="H231">
        <v>48</v>
      </c>
      <c r="I231" s="3">
        <v>16661</v>
      </c>
      <c r="J231" s="3">
        <v>5917</v>
      </c>
      <c r="K231" s="2">
        <v>187.3</v>
      </c>
      <c r="L231" s="2">
        <f t="shared" si="7"/>
        <v>7.4423372432198054</v>
      </c>
      <c r="M231" s="1">
        <v>90.8</v>
      </c>
      <c r="N231" s="3">
        <v>620</v>
      </c>
    </row>
    <row r="232" spans="1:14" x14ac:dyDescent="0.3">
      <c r="A232" t="s">
        <v>33</v>
      </c>
      <c r="B232" t="str">
        <f t="shared" si="6"/>
        <v>Stampede Creek_105</v>
      </c>
      <c r="C232" t="s">
        <v>18</v>
      </c>
      <c r="D232">
        <v>105</v>
      </c>
      <c r="F232">
        <v>3</v>
      </c>
      <c r="G232">
        <v>111</v>
      </c>
      <c r="H232">
        <v>53</v>
      </c>
      <c r="I232" s="3">
        <v>23353</v>
      </c>
      <c r="J232" s="3">
        <v>7088</v>
      </c>
      <c r="K232" s="2">
        <v>200</v>
      </c>
      <c r="L232" s="2">
        <f t="shared" si="7"/>
        <v>8.8328808220742658</v>
      </c>
      <c r="M232" s="1">
        <v>99.6</v>
      </c>
      <c r="N232" s="3">
        <v>470</v>
      </c>
    </row>
    <row r="233" spans="1:14" x14ac:dyDescent="0.3">
      <c r="A233" t="s">
        <v>33</v>
      </c>
      <c r="B233" t="str">
        <f t="shared" si="6"/>
        <v>Stampede Creek_105</v>
      </c>
      <c r="C233" t="s">
        <v>18</v>
      </c>
      <c r="D233">
        <v>105</v>
      </c>
      <c r="F233">
        <v>3</v>
      </c>
      <c r="G233">
        <v>111</v>
      </c>
      <c r="H233">
        <v>58</v>
      </c>
      <c r="I233" s="3">
        <v>30330</v>
      </c>
      <c r="J233" s="3">
        <v>8136</v>
      </c>
      <c r="K233" s="2">
        <v>207.7</v>
      </c>
      <c r="L233" s="2">
        <f t="shared" si="7"/>
        <v>10.284976406352737</v>
      </c>
      <c r="M233" s="1">
        <v>109.3</v>
      </c>
      <c r="N233" s="3">
        <v>360</v>
      </c>
    </row>
    <row r="234" spans="1:14" x14ac:dyDescent="0.3">
      <c r="A234" t="s">
        <v>33</v>
      </c>
      <c r="B234" t="str">
        <f t="shared" si="6"/>
        <v>Stampede Creek_105</v>
      </c>
      <c r="C234" t="s">
        <v>18</v>
      </c>
      <c r="D234">
        <v>105</v>
      </c>
      <c r="F234">
        <v>3</v>
      </c>
      <c r="G234">
        <v>111</v>
      </c>
      <c r="H234">
        <v>63</v>
      </c>
      <c r="I234" s="3">
        <v>35735</v>
      </c>
      <c r="J234" s="3">
        <v>9206</v>
      </c>
      <c r="K234" s="2">
        <v>222.7</v>
      </c>
      <c r="L234" s="2">
        <f t="shared" si="7"/>
        <v>11.040125412577439</v>
      </c>
      <c r="M234" s="1">
        <v>115.8</v>
      </c>
      <c r="N234" s="3">
        <v>335</v>
      </c>
    </row>
    <row r="235" spans="1:14" x14ac:dyDescent="0.3">
      <c r="A235" t="s">
        <v>33</v>
      </c>
      <c r="B235" t="str">
        <f t="shared" si="6"/>
        <v>Stampede Creek_122</v>
      </c>
      <c r="C235" t="s">
        <v>18</v>
      </c>
      <c r="D235">
        <v>122</v>
      </c>
      <c r="F235">
        <v>3</v>
      </c>
      <c r="G235">
        <v>111</v>
      </c>
      <c r="H235">
        <v>33</v>
      </c>
      <c r="I235" s="3">
        <v>2730</v>
      </c>
      <c r="J235" s="3">
        <v>2587</v>
      </c>
      <c r="K235" s="2">
        <v>133</v>
      </c>
      <c r="L235" s="2">
        <f t="shared" si="7"/>
        <v>4.2579541459378589</v>
      </c>
      <c r="M235" s="1">
        <v>58</v>
      </c>
      <c r="N235" s="3">
        <v>1345</v>
      </c>
    </row>
    <row r="236" spans="1:14" x14ac:dyDescent="0.3">
      <c r="A236" t="s">
        <v>33</v>
      </c>
      <c r="B236" t="str">
        <f t="shared" si="6"/>
        <v>Stampede Creek_122</v>
      </c>
      <c r="C236" t="s">
        <v>18</v>
      </c>
      <c r="D236">
        <v>122</v>
      </c>
      <c r="F236">
        <v>3</v>
      </c>
      <c r="G236">
        <v>111</v>
      </c>
      <c r="H236">
        <v>38</v>
      </c>
      <c r="I236" s="3">
        <v>6296</v>
      </c>
      <c r="J236" s="3">
        <v>3774</v>
      </c>
      <c r="K236" s="2">
        <v>164.1</v>
      </c>
      <c r="L236" s="2">
        <f t="shared" si="7"/>
        <v>4.9357949989195946</v>
      </c>
      <c r="M236" s="1">
        <v>69.599999999999994</v>
      </c>
      <c r="N236" s="3">
        <v>1235</v>
      </c>
    </row>
    <row r="237" spans="1:14" x14ac:dyDescent="0.3">
      <c r="A237" t="s">
        <v>33</v>
      </c>
      <c r="B237" t="str">
        <f t="shared" si="6"/>
        <v>Stampede Creek_122</v>
      </c>
      <c r="C237" t="s">
        <v>18</v>
      </c>
      <c r="D237">
        <v>122</v>
      </c>
      <c r="F237">
        <v>3</v>
      </c>
      <c r="G237">
        <v>111</v>
      </c>
      <c r="H237">
        <v>43</v>
      </c>
      <c r="I237" s="3">
        <v>10880</v>
      </c>
      <c r="J237" s="3">
        <v>5099</v>
      </c>
      <c r="K237" s="2">
        <v>191.1</v>
      </c>
      <c r="L237" s="2">
        <f t="shared" si="7"/>
        <v>5.7357714975362377</v>
      </c>
      <c r="M237" s="1">
        <v>79.599999999999994</v>
      </c>
      <c r="N237" s="3">
        <v>1065</v>
      </c>
    </row>
    <row r="238" spans="1:14" x14ac:dyDescent="0.3">
      <c r="A238" t="s">
        <v>33</v>
      </c>
      <c r="B238" t="str">
        <f t="shared" si="6"/>
        <v>Stampede Creek_122</v>
      </c>
      <c r="C238" t="s">
        <v>18</v>
      </c>
      <c r="D238">
        <v>122</v>
      </c>
      <c r="F238">
        <v>3</v>
      </c>
      <c r="G238">
        <v>111</v>
      </c>
      <c r="H238">
        <v>48</v>
      </c>
      <c r="I238" s="3">
        <v>17173</v>
      </c>
      <c r="J238" s="3">
        <v>6301</v>
      </c>
      <c r="K238" s="2">
        <v>207.2</v>
      </c>
      <c r="L238" s="2">
        <f t="shared" si="7"/>
        <v>7.0700808674350197</v>
      </c>
      <c r="M238" s="1">
        <v>86.8</v>
      </c>
      <c r="N238" s="3">
        <v>760</v>
      </c>
    </row>
    <row r="239" spans="1:14" x14ac:dyDescent="0.3">
      <c r="A239" t="s">
        <v>33</v>
      </c>
      <c r="B239" t="str">
        <f t="shared" si="6"/>
        <v>Stampede Creek_122</v>
      </c>
      <c r="C239" t="s">
        <v>18</v>
      </c>
      <c r="D239">
        <v>122</v>
      </c>
      <c r="F239">
        <v>3</v>
      </c>
      <c r="G239">
        <v>111</v>
      </c>
      <c r="H239">
        <v>53</v>
      </c>
      <c r="I239" s="3">
        <v>25796</v>
      </c>
      <c r="J239" s="3">
        <v>7835</v>
      </c>
      <c r="K239" s="2">
        <v>224.1</v>
      </c>
      <c r="L239" s="2">
        <f t="shared" si="7"/>
        <v>8.4167268542982221</v>
      </c>
      <c r="M239" s="1">
        <v>99.5</v>
      </c>
      <c r="N239" s="3">
        <v>580</v>
      </c>
    </row>
    <row r="240" spans="1:14" x14ac:dyDescent="0.3">
      <c r="A240" t="s">
        <v>33</v>
      </c>
      <c r="B240" t="str">
        <f t="shared" si="6"/>
        <v>Stampede Creek_122</v>
      </c>
      <c r="C240" t="s">
        <v>18</v>
      </c>
      <c r="D240">
        <v>122</v>
      </c>
      <c r="F240">
        <v>3</v>
      </c>
      <c r="G240">
        <v>111</v>
      </c>
      <c r="H240">
        <v>58</v>
      </c>
      <c r="I240" s="3">
        <v>33404</v>
      </c>
      <c r="J240" s="3">
        <v>9205</v>
      </c>
      <c r="K240" s="2">
        <v>239.3</v>
      </c>
      <c r="L240" s="2">
        <f t="shared" si="7"/>
        <v>9.6618151036801283</v>
      </c>
      <c r="M240" s="1">
        <v>108.3</v>
      </c>
      <c r="N240" s="3">
        <v>470</v>
      </c>
    </row>
    <row r="241" spans="1:14" x14ac:dyDescent="0.3">
      <c r="A241" t="s">
        <v>33</v>
      </c>
      <c r="B241" t="str">
        <f t="shared" si="6"/>
        <v>Stampede Creek_122</v>
      </c>
      <c r="C241" t="s">
        <v>18</v>
      </c>
      <c r="D241">
        <v>122</v>
      </c>
      <c r="F241">
        <v>3</v>
      </c>
      <c r="G241">
        <v>111</v>
      </c>
      <c r="H241">
        <v>63</v>
      </c>
      <c r="I241" s="3">
        <v>40300</v>
      </c>
      <c r="J241" s="3">
        <v>10555</v>
      </c>
      <c r="K241" s="2">
        <v>258.39999999999998</v>
      </c>
      <c r="L241" s="2">
        <f t="shared" si="7"/>
        <v>10.620816644635649</v>
      </c>
      <c r="M241" s="1">
        <v>114.8</v>
      </c>
      <c r="N241" s="3">
        <v>420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zoomScale="115" zoomScaleNormal="115" workbookViewId="0">
      <selection activeCell="B5" sqref="B5"/>
    </sheetView>
  </sheetViews>
  <sheetFormatPr defaultRowHeight="14.4" x14ac:dyDescent="0.3"/>
  <cols>
    <col min="1" max="1" width="12.21875" bestFit="1" customWidth="1"/>
  </cols>
  <sheetData>
    <row r="1" spans="1:2" x14ac:dyDescent="0.3">
      <c r="A1" t="s">
        <v>3</v>
      </c>
      <c r="B1" t="s">
        <v>1</v>
      </c>
    </row>
    <row r="2" spans="1:2" x14ac:dyDescent="0.3">
      <c r="A2" t="s">
        <v>2</v>
      </c>
      <c r="B2" t="s">
        <v>19</v>
      </c>
    </row>
    <row r="3" spans="1:2" x14ac:dyDescent="0.3">
      <c r="A3" t="s">
        <v>4</v>
      </c>
      <c r="B3" t="s">
        <v>42</v>
      </c>
    </row>
    <row r="4" spans="1:2" x14ac:dyDescent="0.3">
      <c r="A4" t="s">
        <v>5</v>
      </c>
      <c r="B4" t="s">
        <v>44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43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12</v>
      </c>
    </row>
    <row r="9" spans="1:2" x14ac:dyDescent="0.3">
      <c r="A9" t="s">
        <v>13</v>
      </c>
      <c r="B9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YieldTables</vt:lpstr>
      <vt:lpstr>PermanentPlots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Diaz</dc:creator>
  <cp:lastModifiedBy>David Diaz</cp:lastModifiedBy>
  <dcterms:created xsi:type="dcterms:W3CDTF">2018-04-06T21:11:15Z</dcterms:created>
  <dcterms:modified xsi:type="dcterms:W3CDTF">2018-04-17T21:24:53Z</dcterms:modified>
</cp:coreProperties>
</file>