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Notas-seminario\"/>
    </mc:Choice>
  </mc:AlternateContent>
  <xr:revisionPtr revIDLastSave="0" documentId="13_ncr:1_{251FE45D-F1F9-4610-A736-5E5A6D769E05}" xr6:coauthVersionLast="47" xr6:coauthVersionMax="47" xr10:uidLastSave="{00000000-0000-0000-0000-000000000000}"/>
  <bookViews>
    <workbookView xWindow="-108" yWindow="-108" windowWidth="23256" windowHeight="12576" xr2:uid="{37A698DF-6AAA-4E26-9347-BCF379BFF3B5}"/>
  </bookViews>
  <sheets>
    <sheet name="Hoja1" sheetId="1" r:id="rId1"/>
    <sheet name="Medidas Casa" sheetId="3" r:id="rId2"/>
    <sheet name="Tabla de Carg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1" l="1"/>
  <c r="G50" i="1" s="1"/>
  <c r="G49" i="1"/>
  <c r="I42" i="1"/>
  <c r="G46" i="1"/>
  <c r="I43" i="1" s="1"/>
  <c r="G44" i="1"/>
  <c r="G51" i="1" s="1"/>
  <c r="G45" i="1"/>
  <c r="G43" i="1"/>
  <c r="G9" i="1"/>
  <c r="G8" i="1"/>
  <c r="L17" i="1"/>
  <c r="L16" i="1"/>
  <c r="L15" i="1"/>
  <c r="O17" i="1"/>
  <c r="G5" i="1" s="1"/>
  <c r="O16" i="1"/>
  <c r="G4" i="1" s="1"/>
  <c r="O15" i="1"/>
  <c r="F5" i="3"/>
  <c r="G3" i="3"/>
  <c r="G4" i="3"/>
  <c r="F4" i="3"/>
  <c r="F3" i="3"/>
  <c r="G14" i="2"/>
  <c r="H14" i="2" s="1"/>
  <c r="F14" i="2"/>
  <c r="F13" i="2"/>
  <c r="G13" i="2" s="1"/>
  <c r="H13" i="2" s="1"/>
  <c r="G12" i="2"/>
  <c r="H12" i="2" s="1"/>
  <c r="F12" i="2"/>
  <c r="E12" i="2"/>
  <c r="F11" i="2"/>
  <c r="G11" i="2" s="1"/>
  <c r="H11" i="2" s="1"/>
  <c r="F10" i="2"/>
  <c r="G10" i="2" s="1"/>
  <c r="H10" i="2" s="1"/>
  <c r="F9" i="2"/>
  <c r="G9" i="2" s="1"/>
  <c r="H9" i="2" s="1"/>
  <c r="F8" i="2"/>
  <c r="G8" i="2" s="1"/>
  <c r="H8" i="2" s="1"/>
  <c r="F7" i="2"/>
  <c r="G7" i="2" s="1"/>
  <c r="H7" i="2" s="1"/>
  <c r="F6" i="2"/>
  <c r="G6" i="2" s="1"/>
  <c r="H6" i="2" s="1"/>
  <c r="F5" i="2"/>
  <c r="G5" i="2" s="1"/>
  <c r="H5" i="2" s="1"/>
  <c r="F4" i="2"/>
  <c r="G4" i="2" s="1"/>
  <c r="N2" i="2" a="1"/>
  <c r="N2" i="2" s="1"/>
  <c r="G30" i="1"/>
  <c r="L3" i="1"/>
  <c r="L4" i="1"/>
  <c r="L5" i="1"/>
  <c r="L6" i="1"/>
  <c r="L7" i="1"/>
  <c r="L8" i="1"/>
  <c r="L9" i="1"/>
  <c r="L10" i="1"/>
  <c r="L11" i="1"/>
  <c r="L12" i="1"/>
  <c r="L13" i="1"/>
  <c r="L14" i="1"/>
  <c r="G3" i="1"/>
  <c r="G6" i="1" s="1"/>
  <c r="G2" i="1"/>
  <c r="G7" i="1" s="1"/>
  <c r="G10" i="1" l="1"/>
  <c r="G11" i="1" s="1"/>
  <c r="J6" i="2"/>
  <c r="I6" i="2"/>
  <c r="K6" i="2" s="1"/>
  <c r="J9" i="2"/>
  <c r="I9" i="2"/>
  <c r="K9" i="2" s="1"/>
  <c r="J8" i="2"/>
  <c r="I8" i="2"/>
  <c r="K8" i="2" s="1"/>
  <c r="J10" i="2"/>
  <c r="I10" i="2"/>
  <c r="K10" i="2" s="1"/>
  <c r="J11" i="2"/>
  <c r="I11" i="2"/>
  <c r="K11" i="2" s="1"/>
  <c r="J7" i="2"/>
  <c r="I7" i="2"/>
  <c r="K7" i="2" s="1"/>
  <c r="I12" i="2"/>
  <c r="K12" i="2" s="1"/>
  <c r="J12" i="2"/>
  <c r="J13" i="2"/>
  <c r="I13" i="2"/>
  <c r="K13" i="2" s="1"/>
  <c r="G15" i="2"/>
  <c r="H15" i="2" s="1"/>
  <c r="I15" i="2" s="1"/>
  <c r="K15" i="2" s="1"/>
  <c r="H4" i="2"/>
  <c r="J5" i="2"/>
  <c r="I5" i="2"/>
  <c r="K5" i="2" s="1"/>
  <c r="I14" i="2"/>
  <c r="K14" i="2" s="1"/>
  <c r="J14" i="2"/>
  <c r="F15" i="2"/>
  <c r="G31" i="1" l="1"/>
  <c r="G32" i="1"/>
  <c r="F24" i="1"/>
  <c r="J4" i="2"/>
  <c r="J15" i="2" s="1"/>
  <c r="I4" i="2"/>
  <c r="K4" i="2" s="1"/>
  <c r="G3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<sst xmlns="http://schemas.openxmlformats.org/spreadsheetml/2006/main" count="131" uniqueCount="93">
  <si>
    <t>Año</t>
  </si>
  <si>
    <t>Mes</t>
  </si>
  <si>
    <t>Consumo (KWh/mes)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</si>
  <si>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</si>
  <si>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</si>
  <si>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</si>
  <si>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</si>
  <si>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</si>
  <si>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</si>
  <si>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</si>
  <si>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</si>
  <si>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</si>
  <si>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</si>
  <si>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</si>
  <si>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</si>
  <si>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Consumo promedio (KWh/mes)</t>
  </si>
  <si>
    <t>Consumo pico (KWh/mes)</t>
  </si>
  <si>
    <t>Hora solar pico minima (HSPmin)</t>
  </si>
  <si>
    <t>Hora solar pico maxima (HSPmax)</t>
  </si>
  <si>
    <t>Dias</t>
  </si>
  <si>
    <t>KWh/mes</t>
  </si>
  <si>
    <t>KWh/dia</t>
  </si>
  <si>
    <t>*Datos de PVGIS</t>
  </si>
  <si>
    <t>Consumo maximo diario (Wh/dia)</t>
  </si>
  <si>
    <t>Consumo promedio diario (Wh/dia)</t>
  </si>
  <si>
    <t>Numero de paneles (Np)</t>
  </si>
  <si>
    <t>Eficiencia (%)</t>
  </si>
  <si>
    <t>Potencia maxima (Pmax) (W)</t>
  </si>
  <si>
    <t>Corriente a maxima potencia (Imp) (A)</t>
  </si>
  <si>
    <t>Voltaje a maxima potencia (Vmp) (V)</t>
  </si>
  <si>
    <t>Corriente de cortocircuito (Isc) (A)</t>
  </si>
  <si>
    <t>Voltaje de circuito abierto (Voc) (V)</t>
  </si>
  <si>
    <t>modulo PV seleccionado</t>
  </si>
  <si>
    <t>Precio x modulo</t>
  </si>
  <si>
    <t>Largo (mm)</t>
  </si>
  <si>
    <t>Ancho (mm)</t>
  </si>
  <si>
    <t>profundo (mm)</t>
  </si>
  <si>
    <t>peso (Kg)</t>
  </si>
  <si>
    <t>Precio total modulos</t>
  </si>
  <si>
    <t>Potencia en paneles (Pp) (W)</t>
  </si>
  <si>
    <t>Potencia de paneles (Ppi) (W)</t>
  </si>
  <si>
    <t>Peso/Area (Kg/m2)</t>
  </si>
  <si>
    <t>Area de Paneles (m2)</t>
  </si>
  <si>
    <t>Area de Panel (m2)</t>
  </si>
  <si>
    <t>Peso de paneles (Kg)</t>
  </si>
  <si>
    <t>Precio de inversor</t>
  </si>
  <si>
    <t>Consumo de electrodomesticos</t>
  </si>
  <si>
    <t>Costos diarios</t>
  </si>
  <si>
    <t>Costos mensuales</t>
  </si>
  <si>
    <t>Item</t>
  </si>
  <si>
    <t>Electrodomestico</t>
  </si>
  <si>
    <t>Cantidad</t>
  </si>
  <si>
    <t>Potencia (Wh)</t>
  </si>
  <si>
    <t>Horas</t>
  </si>
  <si>
    <t>Consumo (Wh/día)</t>
  </si>
  <si>
    <t>Consumo (KWh/día)</t>
  </si>
  <si>
    <t>Costo (COP)</t>
  </si>
  <si>
    <t>Costo (USD)</t>
  </si>
  <si>
    <t>Bombillos led</t>
  </si>
  <si>
    <t>TV 40-50 pulg</t>
  </si>
  <si>
    <t>Nevera</t>
  </si>
  <si>
    <t>A.A. 12mil BTU</t>
  </si>
  <si>
    <t>Cargar celular</t>
  </si>
  <si>
    <t>WiFi</t>
  </si>
  <si>
    <t>Pc portatil</t>
  </si>
  <si>
    <t>Plancha de ropa</t>
  </si>
  <si>
    <t>Lavadora</t>
  </si>
  <si>
    <t>Freidora de aire</t>
  </si>
  <si>
    <t>Ventilador</t>
  </si>
  <si>
    <t>inversor seleccionado</t>
  </si>
  <si>
    <t>Bloque habitaciones</t>
  </si>
  <si>
    <t>Bloque sala-comedor</t>
  </si>
  <si>
    <t>Area (m2)</t>
  </si>
  <si>
    <t>Largo (m)</t>
  </si>
  <si>
    <t>Ancho (m)</t>
  </si>
  <si>
    <t>Volumen (m3)</t>
  </si>
  <si>
    <t>Alto (m)</t>
  </si>
  <si>
    <t>ALLSKY_SFC_SW_DWN (kW-hr/m2/dia)</t>
  </si>
  <si>
    <t>Promedio</t>
  </si>
  <si>
    <t>*Datos de https://power.larc.nasa.gov/</t>
  </si>
  <si>
    <t>Minimo</t>
  </si>
  <si>
    <t>Maximo</t>
  </si>
  <si>
    <t>Hora solar pico promedio (HSPprom)</t>
  </si>
  <si>
    <t>Tension de las baterias (V)</t>
  </si>
  <si>
    <t>Tension de trabajo de las baterias (V)</t>
  </si>
  <si>
    <t>Descarga maxima diaria Cnd (Wh)</t>
  </si>
  <si>
    <t>Descarga maxima estacional Cne (Wh)</t>
  </si>
  <si>
    <t>Descarga maxima estaciona Cne (Ah)</t>
  </si>
  <si>
    <t>Descarga maxima diaria Cnd (Ah)</t>
  </si>
  <si>
    <t>Carga nominal de baterias (Ah)</t>
  </si>
  <si>
    <t>Numero de baterias</t>
  </si>
  <si>
    <t>Baterias en serie</t>
  </si>
  <si>
    <t>Baterias en paralelo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</si>
</sst>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240A]\ #,##0;[Red]\-[$$-240A]\ #,##0"/>
    <numFmt numFmtId="165" formatCode="_-[$$-240A]\ * #,##0.00_-;\-[$$-240A]\ * #,##0.00_-;_-[$$-240A]\ * &quot;-&quot;??_-;_-@_-"/>
    <numFmt numFmtId="166" formatCode="#,##0_ ;[Red]\-#,##0\ 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2" xfId="0" applyBorder="1"/>
    <xf numFmtId="14" fontId="0" fillId="0" borderId="1" xfId="0" applyNumberFormat="1" applyBorder="1" applyAlignment="1">
      <alignment horizontal="left"/>
    </xf>
    <xf numFmtId="14" fontId="0" fillId="0" borderId="8" xfId="0" applyNumberFormat="1" applyBorder="1" applyAlignment="1">
      <alignment horizontal="left"/>
    </xf>
    <xf numFmtId="0" fontId="0" fillId="0" borderId="8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4" fillId="0" borderId="0" xfId="1"/>
    <xf numFmtId="164" fontId="0" fillId="0" borderId="1" xfId="0" applyNumberFormat="1" applyBorder="1" applyAlignment="1">
      <alignment horizontal="center"/>
    </xf>
    <xf numFmtId="4" fontId="0" fillId="0" borderId="1" xfId="0" applyNumberFormat="1" applyBorder="1"/>
    <xf numFmtId="164" fontId="0" fillId="0" borderId="0" xfId="0" applyNumberFormat="1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7" xfId="0" applyFont="1" applyBorder="1"/>
    <xf numFmtId="0" fontId="0" fillId="0" borderId="3" xfId="0" applyBorder="1" applyAlignment="1">
      <alignment horizontal="center"/>
    </xf>
    <xf numFmtId="0" fontId="1" fillId="2" borderId="4" xfId="0" applyFont="1" applyFill="1" applyBorder="1"/>
    <xf numFmtId="0" fontId="1" fillId="2" borderId="6" xfId="0" applyFont="1" applyFill="1" applyBorder="1"/>
    <xf numFmtId="0" fontId="0" fillId="0" borderId="9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4" fontId="2" fillId="0" borderId="9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/>
  </cellXfs>
  <cellStyles count="2">
    <cellStyle name="Hipervínculo" xfId="1" builtinId="8"/>
    <cellStyle name="Normal" xfId="0" builtinId="0"/>
  </cellStyles>
  <dxfs count="23">
    <dxf>
      <numFmt numFmtId="4" formatCode="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9" formatCode="d/mm/yyyy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es-ES</v>
    <v>avyma2</v>
    <v>268435456</v>
    <v>1</v>
    <v>Con tecnología de Refinitiv</v>
    <v>0</v>
    <v>1</v>
    <v>USD/COP</v>
    <v>3</v>
    <v>4</v>
    <v>Finance</v>
    <v>5</v>
    <v>-26.85</v>
    <v>-6.5690000000000002E-3</v>
    <v>4087.55</v>
    <v>USD</v>
    <v>45170.871053240742</v>
    <v>5118.38</v>
    <v>3859.07</v>
    <v>COP</v>
    <v>US Dollar/Colombian Peso FX Spot Rate</v>
    <v>4060.7</v>
    <v>USDCOP</v>
    <v>Par de divisa</v>
    <v>USD/COP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Cambio"/>
    <k n="Cambio (%)"/>
    <k n="Cierre anterior"/>
    <k n="De la moneda" t="s"/>
    <k n="Hora de la última operación"/>
    <k n="Máximo en 52 semanas"/>
    <k n="Mínimo en 52 semanas"/>
    <k n="Moneda" t="s"/>
    <k n="Nombre" t="s"/>
    <k n="Precio"/>
    <k n="Símbolo bursátil" t="s"/>
    <k n="Tipo de instrumento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5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Precio</v>
      <v t="s">_SubLabel</v>
      <v t="s">Hora de la última operación</v>
      <v t="s">Símbolo bursátil</v>
      <v t="s">Cambio</v>
      <v t="s">Cambio (%)</v>
      <v t="s">Moneda</v>
      <v t="s">De la moneda</v>
      <v t="s">Cierre anterior</v>
      <v t="s">Máximo en 52 semanas</v>
      <v t="s">Mínimo en 52 semanas</v>
      <v t="s">Tipo de instrumento</v>
      <v t="s">_Flags</v>
      <v t="s">UniqueName</v>
      <v t="s">_DisplayString</v>
      <v t="s">%ProviderInfo</v>
    </a>
  </spbArrays>
  <spbData count="6">
    <spb s="0">
      <v>Change</v>
      <v>Currency</v>
      <v>Name</v>
      <v>Price</v>
      <v>Change (%)</v>
      <v>UniqueName</v>
      <v>From currency</v>
      <v>%ProviderInfo</v>
      <v>Previous close</v>
      <v>Ticker symbol</v>
      <v>Instrument type</v>
      <v>52 week high</v>
      <v>52 week low</v>
      <v>Last trade time</v>
    </spb>
    <spb s="1">
      <v>0</v>
      <v>Name</v>
    </spb>
    <spb s="2">
      <v>0</v>
      <v>0</v>
      <v>0</v>
    </spb>
    <spb s="3">
      <v>2</v>
      <v>2</v>
    </spb>
    <spb s="4">
      <v>1</v>
      <v>2</v>
      <v>1</v>
      <v>3</v>
      <v>1</v>
      <v>4</v>
      <v>1</v>
      <v>1</v>
      <v>5</v>
    </spb>
    <spb s="5"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Cambio" t="s"/>
    <k n="Moneda" t="s"/>
    <k n="Nombre" t="s"/>
    <k n="Precio" t="s"/>
    <k n="Cambio (%)" t="s"/>
    <k n="UniqueName" t="s"/>
    <k n="De la moneda" t="s"/>
    <k n="%ProviderInfo" t="s"/>
    <k n="Cierre anterior" t="s"/>
    <k n="Símbolo bursátil" t="s"/>
    <k n="Tipo de instrumento" t="s"/>
    <k n="Máximo en 52 semanas" t="s"/>
    <k n="Mínimo en 52 semanas" t="s"/>
    <k n="Hora de la última operación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Cambio" t="i"/>
    <k n="Nombre" t="i"/>
    <k n="Precio" t="i"/>
    <k n="Cambio (%)" t="i"/>
    <k n="Cierre anterior" t="i"/>
    <k n="`%EntityServiceId" t="i"/>
    <k n="Máximo en 52 semanas" t="i"/>
    <k n="Mínimo en 52 semanas" t="i"/>
    <k n="Hora de la última operación" t="i"/>
  </s>
  <s>
    <k n="Hora de la última operació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0" formatCode="General"/>
    </x:dxf>
    <x:dxf>
      <x:numFmt numFmtId="14" formatCode="0.00%"/>
    </x:dxf>
    <x:dxf>
      <x:numFmt numFmtId="2" formatCode="0.00"/>
    </x:dxf>
    <x:dxf>
      <x:numFmt numFmtId="27" formatCode="d/mm/yyyy\ h:mm"/>
    </x:dxf>
  </dxfs>
  <richProperties>
    <rPr n="NumberFormat" t="s"/>
    <rPr n="IsTitleField" t="b"/>
  </richProperties>
  <richStyles>
    <rSty dxfid="0">
      <rpv i="0">_-[$$-es-CO] * #,##0.00_-;-[$$-es-CO] * #,##0.00_-;_-[$$-es-CO] * "-"??_-;_-@_-</rpv>
    </rSty>
    <rSty>
      <rpv i="1">1</rpv>
    </rSty>
    <rSty dxfid="1"/>
    <rSty dxfid="2">
      <rpv i="0">0.00</rpv>
    </rSty>
    <rSty dxfid="3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E6F9D2-6606-41B8-93FA-D4E28586AD7A}" name="Tabla1" displayName="Tabla1" ref="B2:D21" totalsRowShown="0" headerRowDxfId="22" headerRowBorderDxfId="21" tableBorderDxfId="20" totalsRowBorderDxfId="19">
  <autoFilter ref="B2:D21" xr:uid="{F7E6F9D2-6606-41B8-93FA-D4E28586AD7A}"/>
  <tableColumns count="3">
    <tableColumn id="1" xr3:uid="{DBA41838-9A44-4471-8146-C601B75A671A}" name="Año" dataDxfId="18"/>
    <tableColumn id="2" xr3:uid="{86D75A9C-B00B-4D96-B397-2A0D3DA51DC4}" name="Mes" dataDxfId="17"/>
    <tableColumn id="3" xr3:uid="{26771341-D94F-4E5C-9566-36BA6B16ED48}" name="Consumo (KWh/mes)" dataDxfId="1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EED759-663E-4786-8272-814508BF9342}" name="Tabla2" displayName="Tabla2" ref="I2:L17" totalsRowShown="0" headerRowDxfId="7" headerRowBorderDxfId="5" tableBorderDxfId="6" totalsRowBorderDxfId="4">
  <autoFilter ref="I2:L17" xr:uid="{C4EED759-663E-4786-8272-814508BF9342}"/>
  <tableColumns count="4">
    <tableColumn id="1" xr3:uid="{159DAA46-99CC-497C-8AE6-BB956173B3C2}" name="Mes" dataDxfId="3"/>
    <tableColumn id="2" xr3:uid="{A19D46D1-E76C-41DE-8838-54469881E6E0}" name="Dias" dataDxfId="2"/>
    <tableColumn id="3" xr3:uid="{40B89D3D-46D4-48FA-ACCC-D609C13556D2}" name="KWh/mes" dataDxfId="1"/>
    <tableColumn id="4" xr3:uid="{666390FE-05D3-47B0-AEFD-C40688174683}" name="KWh/dia" dataDxfId="0">
      <calculatedColumnFormula>Tabla2[[#This Row],[KWh/mes]]/Tabla2[[#This Row],[Dias]]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393812B-9C15-4736-808D-0DABC68A3549}" name="Tabla7" displayName="Tabla7" ref="N2:O15" totalsRowCount="1" headerRowDxfId="10" headerRowBorderDxfId="14" tableBorderDxfId="15" totalsRowBorderDxfId="13">
  <autoFilter ref="N2:O14" xr:uid="{9393812B-9C15-4736-808D-0DABC68A3549}"/>
  <tableColumns count="2">
    <tableColumn id="1" xr3:uid="{6C3C2CF3-D0AA-4C1D-861C-1A797D0BCEC1}" name="Mes" totalsRowLabel="Promedio" dataDxfId="12" totalsRowDxfId="9"/>
    <tableColumn id="2" xr3:uid="{1432C9D4-5660-4299-AF63-4DC0C664CD48}" name="ALLSKY_SFC_SW_DWN (kW-hr/m2/dia)" totalsRowFunction="custom" dataDxfId="11" totalsRowDxfId="8">
      <totalsRowFormula>AVERAGE(Tabla7[ALLSKY_SFC_SW_DWN (kW-hr/m2/dia)])</totalsRow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utosolar.co/inversores-on-grid-bifasicos/inversor-on-grid-growatt-min-3000tl-x" TargetMode="External"/><Relationship Id="rId1" Type="http://schemas.openxmlformats.org/officeDocument/2006/relationships/hyperlink" Target="https://autosolar.co/paneles-solares-24v/panel-solar-ja-solar-455w-24v-monocristalino-perc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75E7-ED5E-461F-80C6-0A8CC986DE1E}">
  <dimension ref="B2:O51"/>
  <sheetViews>
    <sheetView tabSelected="1" workbookViewId="0">
      <selection activeCell="G6" sqref="G6"/>
    </sheetView>
  </sheetViews>
  <sheetFormatPr baseColWidth="10" defaultRowHeight="14.4" x14ac:dyDescent="0.3"/>
  <cols>
    <col min="1" max="1" width="2.77734375" customWidth="1"/>
    <col min="2" max="2" width="8.88671875" bestFit="1" customWidth="1"/>
    <col min="3" max="3" width="10.109375" bestFit="1" customWidth="1"/>
    <col min="4" max="4" width="23.6640625" bestFit="1" customWidth="1"/>
    <col min="5" max="5" width="2.77734375" customWidth="1"/>
    <col min="6" max="6" width="33.6640625" bestFit="1" customWidth="1"/>
    <col min="7" max="7" width="9" bestFit="1" customWidth="1"/>
    <col min="8" max="8" width="2.77734375" customWidth="1"/>
    <col min="9" max="9" width="10.109375" bestFit="1" customWidth="1"/>
    <col min="10" max="10" width="6.6640625" bestFit="1" customWidth="1"/>
    <col min="12" max="12" width="10.6640625" bestFit="1" customWidth="1"/>
    <col min="13" max="13" width="2.77734375" customWidth="1"/>
    <col min="14" max="14" width="10.109375" bestFit="1" customWidth="1"/>
    <col min="15" max="15" width="36.88671875" bestFit="1" customWidth="1"/>
  </cols>
  <sheetData>
    <row r="2" spans="2:15" x14ac:dyDescent="0.3">
      <c r="B2" s="7" t="s">
        <v>0</v>
      </c>
      <c r="C2" s="8" t="s">
        <v>1</v>
      </c>
      <c r="D2" s="9" t="s">
        <v>2</v>
      </c>
      <c r="F2" s="10" t="s">
        <v>15</v>
      </c>
      <c r="G2" s="22">
        <f>AVERAGE(Tabla1[Consumo (KWh/mes)])</f>
        <v>233.89473684210526</v>
      </c>
      <c r="I2" s="6" t="s">
        <v>1</v>
      </c>
      <c r="J2" s="11" t="s">
        <v>19</v>
      </c>
      <c r="K2" s="11" t="s">
        <v>20</v>
      </c>
      <c r="L2" s="5" t="s">
        <v>21</v>
      </c>
      <c r="N2" s="39" t="s">
        <v>1</v>
      </c>
      <c r="O2" s="40" t="s">
        <v>77</v>
      </c>
    </row>
    <row r="3" spans="2:15" x14ac:dyDescent="0.3">
      <c r="B3" s="2">
        <v>2022</v>
      </c>
      <c r="C3" s="13" t="s">
        <v>9</v>
      </c>
      <c r="D3" s="16">
        <v>243</v>
      </c>
      <c r="F3" s="10" t="s">
        <v>16</v>
      </c>
      <c r="G3" s="1">
        <f>MAX(Tabla1[Consumo (KWh/mes)])</f>
        <v>289</v>
      </c>
      <c r="I3" s="12" t="s">
        <v>8</v>
      </c>
      <c r="J3" s="1">
        <v>31</v>
      </c>
      <c r="K3" s="1">
        <v>183.44</v>
      </c>
      <c r="L3" s="18">
        <f>Tabla2[[#This Row],[KWh/mes]]/Tabla2[[#This Row],[Dias]]</f>
        <v>5.9174193548387093</v>
      </c>
      <c r="N3" s="36" t="s">
        <v>8</v>
      </c>
      <c r="O3" s="38">
        <v>4.72</v>
      </c>
    </row>
    <row r="4" spans="2:15" x14ac:dyDescent="0.3">
      <c r="B4" s="2">
        <v>2022</v>
      </c>
      <c r="C4" s="13" t="s">
        <v>10</v>
      </c>
      <c r="D4" s="16">
        <v>263</v>
      </c>
      <c r="F4" s="10" t="s">
        <v>17</v>
      </c>
      <c r="G4" s="22">
        <f>O16</f>
        <v>3.77</v>
      </c>
      <c r="I4" s="12" t="s">
        <v>9</v>
      </c>
      <c r="J4" s="1">
        <v>29</v>
      </c>
      <c r="K4" s="1">
        <v>170.18</v>
      </c>
      <c r="L4" s="18">
        <f>Tabla2[[#This Row],[KWh/mes]]/Tabla2[[#This Row],[Dias]]</f>
        <v>5.8682758620689661</v>
      </c>
      <c r="N4" s="36" t="s">
        <v>9</v>
      </c>
      <c r="O4" s="38">
        <v>4.03</v>
      </c>
    </row>
    <row r="5" spans="2:15" x14ac:dyDescent="0.3">
      <c r="B5" s="2">
        <v>2022</v>
      </c>
      <c r="C5" s="13" t="s">
        <v>11</v>
      </c>
      <c r="D5" s="16">
        <v>270</v>
      </c>
      <c r="F5" s="10" t="s">
        <v>18</v>
      </c>
      <c r="G5" s="1">
        <f>O17</f>
        <v>4.72</v>
      </c>
      <c r="I5" s="12" t="s">
        <v>10</v>
      </c>
      <c r="J5" s="1">
        <v>31</v>
      </c>
      <c r="K5" s="1">
        <v>171.4</v>
      </c>
      <c r="L5" s="18">
        <f>Tabla2[[#This Row],[KWh/mes]]/Tabla2[[#This Row],[Dias]]</f>
        <v>5.5290322580645164</v>
      </c>
      <c r="N5" s="36" t="s">
        <v>10</v>
      </c>
      <c r="O5" s="38">
        <v>3.77</v>
      </c>
    </row>
    <row r="6" spans="2:15" x14ac:dyDescent="0.3">
      <c r="B6" s="2">
        <v>2022</v>
      </c>
      <c r="C6" s="13" t="s">
        <v>12</v>
      </c>
      <c r="D6" s="16">
        <v>278</v>
      </c>
      <c r="F6" s="10" t="s">
        <v>23</v>
      </c>
      <c r="G6" s="22">
        <f>G3*1000*1.2/30</f>
        <v>11560</v>
      </c>
      <c r="I6" s="12" t="s">
        <v>11</v>
      </c>
      <c r="J6" s="1">
        <v>30</v>
      </c>
      <c r="K6" s="1">
        <v>148.76</v>
      </c>
      <c r="L6" s="18">
        <f>Tabla2[[#This Row],[KWh/mes]]/Tabla2[[#This Row],[Dias]]</f>
        <v>4.9586666666666668</v>
      </c>
      <c r="N6" s="36" t="s">
        <v>11</v>
      </c>
      <c r="O6" s="38">
        <v>4.3899999999999997</v>
      </c>
    </row>
    <row r="7" spans="2:15" x14ac:dyDescent="0.3">
      <c r="B7" s="2">
        <v>2022</v>
      </c>
      <c r="C7" s="13" t="s">
        <v>13</v>
      </c>
      <c r="D7" s="16">
        <v>266</v>
      </c>
      <c r="F7" s="10" t="s">
        <v>24</v>
      </c>
      <c r="G7" s="22">
        <f>G2*1000*1.2/30</f>
        <v>9355.78947368421</v>
      </c>
      <c r="I7" s="12" t="s">
        <v>12</v>
      </c>
      <c r="J7" s="1">
        <v>31</v>
      </c>
      <c r="K7" s="1">
        <v>126.98</v>
      </c>
      <c r="L7" s="18">
        <f>Tabla2[[#This Row],[KWh/mes]]/Tabla2[[#This Row],[Dias]]</f>
        <v>4.096129032258065</v>
      </c>
      <c r="N7" s="36" t="s">
        <v>12</v>
      </c>
      <c r="O7" s="38">
        <v>4.24</v>
      </c>
    </row>
    <row r="8" spans="2:15" x14ac:dyDescent="0.3">
      <c r="B8" s="2">
        <v>2022</v>
      </c>
      <c r="C8" s="13" t="s">
        <v>14</v>
      </c>
      <c r="D8" s="16">
        <v>288</v>
      </c>
      <c r="F8" s="10" t="s">
        <v>82</v>
      </c>
      <c r="G8" s="22">
        <f>Tabla7[[#Totals],[ALLSKY_SFC_SW_DWN (kW-hr/m2/dia)]]</f>
        <v>4.3008333333333333</v>
      </c>
      <c r="I8" s="12" t="s">
        <v>13</v>
      </c>
      <c r="J8" s="1">
        <v>30</v>
      </c>
      <c r="K8" s="1">
        <v>131.21</v>
      </c>
      <c r="L8" s="18">
        <f>Tabla2[[#This Row],[KWh/mes]]/Tabla2[[#This Row],[Dias]]</f>
        <v>4.3736666666666668</v>
      </c>
      <c r="N8" s="36" t="s">
        <v>13</v>
      </c>
      <c r="O8" s="38">
        <v>4.2300000000000004</v>
      </c>
    </row>
    <row r="9" spans="2:15" x14ac:dyDescent="0.3">
      <c r="B9" s="2">
        <v>2022</v>
      </c>
      <c r="C9" s="13" t="s">
        <v>3</v>
      </c>
      <c r="D9" s="16">
        <v>180</v>
      </c>
      <c r="F9" s="21" t="s">
        <v>39</v>
      </c>
      <c r="G9" s="22">
        <f>G6/(G8*0.8)</f>
        <v>3359.8139895369113</v>
      </c>
      <c r="I9" s="12" t="s">
        <v>14</v>
      </c>
      <c r="J9" s="1">
        <v>31</v>
      </c>
      <c r="K9" s="1">
        <v>139.97999999999999</v>
      </c>
      <c r="L9" s="18">
        <f>Tabla2[[#This Row],[KWh/mes]]/Tabla2[[#This Row],[Dias]]</f>
        <v>4.5154838709677412</v>
      </c>
      <c r="N9" s="36" t="s">
        <v>14</v>
      </c>
      <c r="O9" s="38">
        <v>4</v>
      </c>
    </row>
    <row r="10" spans="2:15" x14ac:dyDescent="0.3">
      <c r="B10" s="2">
        <v>2022</v>
      </c>
      <c r="C10" s="13" t="s">
        <v>4</v>
      </c>
      <c r="D10" s="16">
        <v>198</v>
      </c>
      <c r="F10" s="21" t="s">
        <v>25</v>
      </c>
      <c r="G10" s="24">
        <f>ROUNDUP((G9/G15),0)</f>
        <v>8</v>
      </c>
      <c r="I10" s="12" t="s">
        <v>3</v>
      </c>
      <c r="J10" s="1">
        <v>31</v>
      </c>
      <c r="K10" s="1">
        <v>156.36000000000001</v>
      </c>
      <c r="L10" s="18">
        <f>Tabla2[[#This Row],[KWh/mes]]/Tabla2[[#This Row],[Dias]]</f>
        <v>5.0438709677419356</v>
      </c>
      <c r="N10" s="36" t="s">
        <v>3</v>
      </c>
      <c r="O10" s="38">
        <v>4.09</v>
      </c>
    </row>
    <row r="11" spans="2:15" x14ac:dyDescent="0.3">
      <c r="B11" s="2">
        <v>2022</v>
      </c>
      <c r="C11" s="13" t="s">
        <v>5</v>
      </c>
      <c r="D11" s="16">
        <v>242</v>
      </c>
      <c r="F11" s="21" t="s">
        <v>40</v>
      </c>
      <c r="G11" s="1">
        <f>G10*G15</f>
        <v>3640</v>
      </c>
      <c r="I11" s="12" t="s">
        <v>4</v>
      </c>
      <c r="J11" s="1">
        <v>30</v>
      </c>
      <c r="K11" s="1">
        <v>166.34</v>
      </c>
      <c r="L11" s="18">
        <f>Tabla2[[#This Row],[KWh/mes]]/Tabla2[[#This Row],[Dias]]</f>
        <v>5.5446666666666671</v>
      </c>
      <c r="N11" s="36" t="s">
        <v>4</v>
      </c>
      <c r="O11" s="38">
        <v>4.55</v>
      </c>
    </row>
    <row r="12" spans="2:15" x14ac:dyDescent="0.3">
      <c r="B12" s="2">
        <v>2022</v>
      </c>
      <c r="C12" s="13" t="s">
        <v>6</v>
      </c>
      <c r="D12" s="16">
        <v>200</v>
      </c>
      <c r="I12" s="12" t="s">
        <v>5</v>
      </c>
      <c r="J12" s="1">
        <v>31</v>
      </c>
      <c r="K12" s="1">
        <v>158.84</v>
      </c>
      <c r="L12" s="18">
        <f>Tabla2[[#This Row],[KWh/mes]]/Tabla2[[#This Row],[Dias]]</f>
        <v>5.1238709677419356</v>
      </c>
      <c r="N12" s="36" t="s">
        <v>5</v>
      </c>
      <c r="O12" s="38">
        <v>4.7</v>
      </c>
    </row>
    <row r="13" spans="2:15" x14ac:dyDescent="0.3">
      <c r="B13" s="2">
        <v>2022</v>
      </c>
      <c r="C13" s="13" t="s">
        <v>7</v>
      </c>
      <c r="D13" s="16">
        <v>195</v>
      </c>
      <c r="F13" s="20" t="s">
        <v>28</v>
      </c>
      <c r="G13" s="22">
        <v>10.88</v>
      </c>
      <c r="I13" s="12" t="s">
        <v>6</v>
      </c>
      <c r="J13" s="1">
        <v>30</v>
      </c>
      <c r="K13" s="1">
        <v>152.21</v>
      </c>
      <c r="L13" s="18">
        <f>Tabla2[[#This Row],[KWh/mes]]/Tabla2[[#This Row],[Dias]]</f>
        <v>5.073666666666667</v>
      </c>
      <c r="N13" s="36" t="s">
        <v>6</v>
      </c>
      <c r="O13" s="38">
        <v>4.43</v>
      </c>
    </row>
    <row r="14" spans="2:15" x14ac:dyDescent="0.3">
      <c r="B14" s="2">
        <v>2023</v>
      </c>
      <c r="C14" s="13" t="s">
        <v>8</v>
      </c>
      <c r="D14" s="16">
        <v>256</v>
      </c>
      <c r="F14" s="20" t="s">
        <v>29</v>
      </c>
      <c r="G14" s="22">
        <v>41.82</v>
      </c>
      <c r="I14" s="4" t="s">
        <v>7</v>
      </c>
      <c r="J14" s="15">
        <v>31</v>
      </c>
      <c r="K14" s="15">
        <v>162.66999999999999</v>
      </c>
      <c r="L14" s="19">
        <f>Tabla2[[#This Row],[KWh/mes]]/Tabla2[[#This Row],[Dias]]</f>
        <v>5.2474193548387094</v>
      </c>
      <c r="N14" s="37" t="s">
        <v>7</v>
      </c>
      <c r="O14" s="41">
        <v>4.46</v>
      </c>
    </row>
    <row r="15" spans="2:15" x14ac:dyDescent="0.3">
      <c r="B15" s="2">
        <v>2023</v>
      </c>
      <c r="C15" s="13" t="s">
        <v>9</v>
      </c>
      <c r="D15" s="16">
        <v>164</v>
      </c>
      <c r="F15" s="20" t="s">
        <v>27</v>
      </c>
      <c r="G15" s="24">
        <v>455</v>
      </c>
      <c r="I15" s="44" t="s">
        <v>78</v>
      </c>
      <c r="J15" s="45"/>
      <c r="K15" s="45"/>
      <c r="L15" s="46">
        <f>AVERAGE(L3:L14)</f>
        <v>5.1076806945989377</v>
      </c>
      <c r="N15" s="37" t="s">
        <v>78</v>
      </c>
      <c r="O15" s="41">
        <f>AVERAGE(Tabla7[ALLSKY_SFC_SW_DWN (kW-hr/m2/dia)])</f>
        <v>4.3008333333333333</v>
      </c>
    </row>
    <row r="16" spans="2:15" x14ac:dyDescent="0.3">
      <c r="B16" s="2">
        <v>2023</v>
      </c>
      <c r="C16" s="13" t="s">
        <v>10</v>
      </c>
      <c r="D16" s="16">
        <v>175</v>
      </c>
      <c r="F16" s="20" t="s">
        <v>30</v>
      </c>
      <c r="G16" s="22">
        <v>11.41</v>
      </c>
      <c r="I16" s="44" t="s">
        <v>80</v>
      </c>
      <c r="J16" s="45"/>
      <c r="K16" s="45"/>
      <c r="L16" s="46">
        <f>MIN(L3:L14)</f>
        <v>4.096129032258065</v>
      </c>
      <c r="N16" s="42" t="s">
        <v>80</v>
      </c>
      <c r="O16" s="43">
        <f>MIN(Tabla7[ALLSKY_SFC_SW_DWN (kW-hr/m2/dia)])</f>
        <v>3.77</v>
      </c>
    </row>
    <row r="17" spans="2:15" x14ac:dyDescent="0.3">
      <c r="B17" s="2">
        <v>2023</v>
      </c>
      <c r="C17" s="13" t="s">
        <v>11</v>
      </c>
      <c r="D17" s="16">
        <v>195</v>
      </c>
      <c r="F17" s="20" t="s">
        <v>31</v>
      </c>
      <c r="G17" s="22">
        <v>49.85</v>
      </c>
      <c r="I17" s="44" t="s">
        <v>81</v>
      </c>
      <c r="J17" s="45"/>
      <c r="K17" s="45"/>
      <c r="L17" s="46">
        <f>MAX(L3:L14)</f>
        <v>5.9174193548387093</v>
      </c>
      <c r="N17" s="42" t="s">
        <v>81</v>
      </c>
      <c r="O17" s="43">
        <f>MAX(Tabla7[ALLSKY_SFC_SW_DWN (kW-hr/m2/dia)])</f>
        <v>4.72</v>
      </c>
    </row>
    <row r="18" spans="2:15" x14ac:dyDescent="0.3">
      <c r="B18" s="2">
        <v>2023</v>
      </c>
      <c r="C18" s="13" t="s">
        <v>12</v>
      </c>
      <c r="D18" s="16">
        <v>207</v>
      </c>
      <c r="F18" s="20" t="s">
        <v>26</v>
      </c>
      <c r="G18" s="23">
        <v>0.20399999999999999</v>
      </c>
    </row>
    <row r="19" spans="2:15" x14ac:dyDescent="0.3">
      <c r="B19" s="2">
        <v>2023</v>
      </c>
      <c r="C19" s="13" t="s">
        <v>13</v>
      </c>
      <c r="D19" s="16">
        <v>272</v>
      </c>
      <c r="I19" s="32" t="s">
        <v>22</v>
      </c>
      <c r="J19" s="32"/>
      <c r="K19" s="32"/>
      <c r="L19" s="32"/>
      <c r="N19" s="32" t="s">
        <v>79</v>
      </c>
      <c r="O19" s="32"/>
    </row>
    <row r="20" spans="2:15" x14ac:dyDescent="0.3">
      <c r="B20" s="2">
        <v>2023</v>
      </c>
      <c r="C20" s="13" t="s">
        <v>14</v>
      </c>
      <c r="D20" s="16">
        <v>263</v>
      </c>
      <c r="F20" s="10" t="s">
        <v>33</v>
      </c>
    </row>
    <row r="21" spans="2:15" x14ac:dyDescent="0.3">
      <c r="B21" s="3">
        <v>2023</v>
      </c>
      <c r="C21" s="14" t="s">
        <v>3</v>
      </c>
      <c r="D21" s="17">
        <v>289</v>
      </c>
      <c r="F21" s="26">
        <v>887601</v>
      </c>
    </row>
    <row r="23" spans="2:15" x14ac:dyDescent="0.3">
      <c r="F23" s="10" t="s">
        <v>38</v>
      </c>
    </row>
    <row r="24" spans="2:15" x14ac:dyDescent="0.3">
      <c r="F24" s="26">
        <f>F21*G10</f>
        <v>7100808</v>
      </c>
    </row>
    <row r="26" spans="2:15" x14ac:dyDescent="0.3">
      <c r="F26" s="20" t="s">
        <v>34</v>
      </c>
      <c r="G26" s="24">
        <v>2122</v>
      </c>
    </row>
    <row r="27" spans="2:15" x14ac:dyDescent="0.3">
      <c r="F27" s="20" t="s">
        <v>35</v>
      </c>
      <c r="G27" s="24">
        <v>1054</v>
      </c>
    </row>
    <row r="28" spans="2:15" x14ac:dyDescent="0.3">
      <c r="F28" s="20" t="s">
        <v>36</v>
      </c>
      <c r="G28" s="24">
        <v>41</v>
      </c>
    </row>
    <row r="29" spans="2:15" x14ac:dyDescent="0.3">
      <c r="F29" s="20" t="s">
        <v>37</v>
      </c>
      <c r="G29" s="24">
        <v>32.5</v>
      </c>
    </row>
    <row r="30" spans="2:15" x14ac:dyDescent="0.3">
      <c r="F30" s="20" t="s">
        <v>43</v>
      </c>
      <c r="G30" s="22">
        <f>G26*G27/1000000</f>
        <v>2.2365879999999998</v>
      </c>
    </row>
    <row r="31" spans="2:15" x14ac:dyDescent="0.3">
      <c r="F31" s="20" t="s">
        <v>42</v>
      </c>
      <c r="G31" s="22">
        <f>G30*G10</f>
        <v>17.892703999999998</v>
      </c>
    </row>
    <row r="32" spans="2:15" x14ac:dyDescent="0.3">
      <c r="F32" s="20" t="s">
        <v>44</v>
      </c>
      <c r="G32" s="22">
        <f>G29*G10</f>
        <v>260</v>
      </c>
    </row>
    <row r="33" spans="6:9" x14ac:dyDescent="0.3">
      <c r="F33" s="20" t="s">
        <v>41</v>
      </c>
      <c r="G33" s="22">
        <f>G32/G31</f>
        <v>14.531062493405134</v>
      </c>
    </row>
    <row r="35" spans="6:9" x14ac:dyDescent="0.3">
      <c r="F35" s="25" t="s">
        <v>32</v>
      </c>
    </row>
    <row r="37" spans="6:9" x14ac:dyDescent="0.3">
      <c r="F37" s="10" t="s">
        <v>45</v>
      </c>
    </row>
    <row r="38" spans="6:9" x14ac:dyDescent="0.3">
      <c r="F38" s="26">
        <v>2670331</v>
      </c>
    </row>
    <row r="40" spans="6:9" x14ac:dyDescent="0.3">
      <c r="F40" s="25" t="s">
        <v>69</v>
      </c>
    </row>
    <row r="42" spans="6:9" x14ac:dyDescent="0.3">
      <c r="F42" s="20" t="s">
        <v>84</v>
      </c>
      <c r="G42" s="47">
        <f>IF(G6&lt;1500, IF(G6&lt;1000, 12, IF(G6&lt;=5000, 24, 120)), IF(G6&lt;=5000, 48, 120))</f>
        <v>120</v>
      </c>
      <c r="I42" s="48">
        <f>MAX(G43,G45)</f>
        <v>57800</v>
      </c>
    </row>
    <row r="43" spans="6:9" x14ac:dyDescent="0.3">
      <c r="F43" s="20" t="s">
        <v>85</v>
      </c>
      <c r="G43" s="47">
        <f>G6/(0.2*1)</f>
        <v>57800</v>
      </c>
      <c r="I43" s="48">
        <f>MAX(G44,G46)</f>
        <v>481.66666666666669</v>
      </c>
    </row>
    <row r="44" spans="6:9" x14ac:dyDescent="0.3">
      <c r="F44" s="20" t="s">
        <v>88</v>
      </c>
      <c r="G44" s="47">
        <f>G43/G42</f>
        <v>481.66666666666669</v>
      </c>
    </row>
    <row r="45" spans="6:9" x14ac:dyDescent="0.3">
      <c r="F45" s="20" t="s">
        <v>86</v>
      </c>
      <c r="G45" s="47">
        <f>(G6*1)/(0.7*1)</f>
        <v>16514.285714285714</v>
      </c>
    </row>
    <row r="46" spans="6:9" x14ac:dyDescent="0.3">
      <c r="F46" s="20" t="s">
        <v>87</v>
      </c>
      <c r="G46" s="47">
        <f>G45/G42</f>
        <v>137.61904761904762</v>
      </c>
    </row>
    <row r="47" spans="6:9" x14ac:dyDescent="0.3">
      <c r="F47" s="20" t="s">
        <v>83</v>
      </c>
      <c r="G47" s="47">
        <v>12</v>
      </c>
    </row>
    <row r="48" spans="6:9" x14ac:dyDescent="0.3">
      <c r="F48" s="20" t="s">
        <v>89</v>
      </c>
      <c r="G48" s="47">
        <v>300</v>
      </c>
    </row>
    <row r="49" spans="6:7" x14ac:dyDescent="0.3">
      <c r="F49" s="20" t="s">
        <v>90</v>
      </c>
      <c r="G49" s="47">
        <f>ROUNDUP((G43/(G47*G48)),0)</f>
        <v>17</v>
      </c>
    </row>
    <row r="50" spans="6:7" x14ac:dyDescent="0.3">
      <c r="F50" s="20" t="s">
        <v>91</v>
      </c>
      <c r="G50" s="47">
        <f>G42/G47</f>
        <v>10</v>
      </c>
    </row>
    <row r="51" spans="6:7" x14ac:dyDescent="0.3">
      <c r="F51" s="20" t="s">
        <v>92</v>
      </c>
      <c r="G51" s="47">
        <f>G44/G48</f>
        <v>1.6055555555555556</v>
      </c>
    </row>
  </sheetData>
  <mergeCells count="2">
    <mergeCell ref="I19:L19"/>
    <mergeCell ref="N19:O19"/>
  </mergeCells>
  <phoneticPr fontId="3" type="noConversion"/>
  <hyperlinks>
    <hyperlink ref="F35" r:id="rId1" xr:uid="{DB6F814D-E714-4FFA-B519-4D83AA2A7E0A}"/>
    <hyperlink ref="F40" r:id="rId2" xr:uid="{0327A25E-1C61-490A-AF37-3EA229D7C917}"/>
  </hyperlinks>
  <pageMargins left="0.7" right="0.7" top="0.75" bottom="0.75" header="0.3" footer="0.3"/>
  <pageSetup paperSize="9" orientation="portrait" r:id="rId3"/>
  <tableParts count="3"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7729-9C99-4277-A675-B38AE29B2DF7}">
  <dimension ref="B2:G5"/>
  <sheetViews>
    <sheetView workbookViewId="0">
      <selection activeCell="I4" sqref="I4"/>
    </sheetView>
  </sheetViews>
  <sheetFormatPr baseColWidth="10" defaultRowHeight="14.4" x14ac:dyDescent="0.3"/>
  <cols>
    <col min="2" max="2" width="18.44140625" bestFit="1" customWidth="1"/>
    <col min="3" max="3" width="9.21875" bestFit="1" customWidth="1"/>
    <col min="4" max="4" width="8.6640625" bestFit="1" customWidth="1"/>
    <col min="5" max="5" width="7.44140625" bestFit="1" customWidth="1"/>
    <col min="6" max="6" width="8.88671875" bestFit="1" customWidth="1"/>
    <col min="7" max="7" width="12.33203125" bestFit="1" customWidth="1"/>
  </cols>
  <sheetData>
    <row r="2" spans="2:7" x14ac:dyDescent="0.3">
      <c r="B2" s="1"/>
      <c r="C2" s="1" t="s">
        <v>74</v>
      </c>
      <c r="D2" s="1" t="s">
        <v>73</v>
      </c>
      <c r="E2" s="1" t="s">
        <v>76</v>
      </c>
      <c r="F2" s="1" t="s">
        <v>72</v>
      </c>
      <c r="G2" s="1" t="s">
        <v>75</v>
      </c>
    </row>
    <row r="3" spans="2:7" x14ac:dyDescent="0.3">
      <c r="B3" s="1" t="s">
        <v>71</v>
      </c>
      <c r="C3" s="1">
        <v>3</v>
      </c>
      <c r="D3" s="1">
        <v>6</v>
      </c>
      <c r="E3" s="1">
        <v>2.5</v>
      </c>
      <c r="F3" s="1">
        <f>C3*D3</f>
        <v>18</v>
      </c>
      <c r="G3" s="1">
        <f>F3*E3</f>
        <v>45</v>
      </c>
    </row>
    <row r="4" spans="2:7" x14ac:dyDescent="0.3">
      <c r="B4" s="1" t="s">
        <v>70</v>
      </c>
      <c r="C4" s="1">
        <v>3</v>
      </c>
      <c r="D4" s="1">
        <v>12</v>
      </c>
      <c r="E4" s="1">
        <v>5</v>
      </c>
      <c r="F4" s="1">
        <f>C4*D4</f>
        <v>36</v>
      </c>
      <c r="G4" s="1">
        <f>F4*E4</f>
        <v>180</v>
      </c>
    </row>
    <row r="5" spans="2:7" x14ac:dyDescent="0.3">
      <c r="F5">
        <f>SUM(F3:F4)</f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B990-7E37-48AE-BA90-A65DE4C3485E}">
  <dimension ref="A1:N16"/>
  <sheetViews>
    <sheetView zoomScale="120" zoomScaleNormal="120" workbookViewId="0">
      <selection activeCell="J16" sqref="J16"/>
    </sheetView>
  </sheetViews>
  <sheetFormatPr baseColWidth="10" defaultRowHeight="14.4" x14ac:dyDescent="0.3"/>
  <cols>
    <col min="1" max="1" width="4.77734375" bestFit="1" customWidth="1"/>
    <col min="2" max="2" width="15.33203125" bestFit="1" customWidth="1"/>
    <col min="3" max="3" width="8.21875" bestFit="1" customWidth="1"/>
    <col min="4" max="4" width="12.44140625" bestFit="1" customWidth="1"/>
    <col min="5" max="5" width="12" bestFit="1" customWidth="1"/>
    <col min="6" max="6" width="16.33203125" bestFit="1" customWidth="1"/>
    <col min="7" max="7" width="17.33203125" bestFit="1" customWidth="1"/>
    <col min="8" max="11" width="10.77734375" bestFit="1" customWidth="1"/>
    <col min="12" max="12" width="5.77734375" customWidth="1"/>
    <col min="13" max="13" width="12.88671875" bestFit="1" customWidth="1"/>
    <col min="14" max="14" width="10.77734375" bestFit="1" customWidth="1"/>
  </cols>
  <sheetData>
    <row r="1" spans="1:14" x14ac:dyDescent="0.3">
      <c r="A1" s="33" t="s">
        <v>46</v>
      </c>
      <c r="B1" s="33"/>
      <c r="C1" s="33"/>
      <c r="D1" s="33"/>
      <c r="E1" s="33"/>
      <c r="F1" s="33"/>
      <c r="G1" s="33"/>
      <c r="H1" s="34" t="s">
        <v>47</v>
      </c>
      <c r="I1" s="34"/>
      <c r="J1" s="35" t="s">
        <v>48</v>
      </c>
      <c r="K1" s="35"/>
    </row>
    <row r="2" spans="1:14" x14ac:dyDescent="0.3">
      <c r="A2" s="33"/>
      <c r="B2" s="33"/>
      <c r="C2" s="33"/>
      <c r="D2" s="33"/>
      <c r="E2" s="33"/>
      <c r="F2" s="33"/>
      <c r="G2" s="33"/>
      <c r="H2" s="34"/>
      <c r="I2" s="34"/>
      <c r="J2" s="35"/>
      <c r="K2" s="35"/>
      <c r="M2" s="29" t="e" vm="1">
        <v>#VALUE!</v>
      </c>
      <c r="N2" s="30" cm="1">
        <f t="array" ref="N2">_FV(M2,"Precio")</f>
        <v>4060.7</v>
      </c>
    </row>
    <row r="3" spans="1:14" x14ac:dyDescent="0.3">
      <c r="A3" s="29" t="s">
        <v>49</v>
      </c>
      <c r="B3" s="29" t="s">
        <v>50</v>
      </c>
      <c r="C3" s="29" t="s">
        <v>51</v>
      </c>
      <c r="D3" s="29" t="s">
        <v>52</v>
      </c>
      <c r="E3" s="29" t="s">
        <v>53</v>
      </c>
      <c r="F3" s="29" t="s">
        <v>54</v>
      </c>
      <c r="G3" s="29" t="s">
        <v>55</v>
      </c>
      <c r="H3" s="29" t="s">
        <v>56</v>
      </c>
      <c r="I3" s="29" t="s">
        <v>57</v>
      </c>
      <c r="J3" s="29" t="s">
        <v>56</v>
      </c>
      <c r="K3" s="29" t="s">
        <v>57</v>
      </c>
    </row>
    <row r="4" spans="1:14" x14ac:dyDescent="0.3">
      <c r="A4" s="29">
        <v>1</v>
      </c>
      <c r="B4" s="29" t="s">
        <v>58</v>
      </c>
      <c r="C4" s="29">
        <v>16</v>
      </c>
      <c r="D4" s="29">
        <v>20</v>
      </c>
      <c r="E4" s="29">
        <v>2</v>
      </c>
      <c r="F4" s="27">
        <f>D4*E4</f>
        <v>40</v>
      </c>
      <c r="G4" s="27">
        <f>F4/1000</f>
        <v>0.04</v>
      </c>
      <c r="H4" s="31">
        <f>893.39*G4</f>
        <v>35.735599999999998</v>
      </c>
      <c r="I4" s="30">
        <f>H4/N$2</f>
        <v>8.8003546186618074E-3</v>
      </c>
      <c r="J4" s="31">
        <f>H4*30</f>
        <v>1072.068</v>
      </c>
      <c r="K4" s="30">
        <f>I4*30</f>
        <v>0.26401063855985424</v>
      </c>
    </row>
    <row r="5" spans="1:14" x14ac:dyDescent="0.3">
      <c r="A5" s="29">
        <v>2</v>
      </c>
      <c r="B5" s="29" t="s">
        <v>59</v>
      </c>
      <c r="C5" s="29">
        <v>2</v>
      </c>
      <c r="D5" s="29">
        <v>150</v>
      </c>
      <c r="E5" s="29">
        <v>6</v>
      </c>
      <c r="F5" s="27">
        <f t="shared" ref="F5:F14" si="0">D5*E5</f>
        <v>900</v>
      </c>
      <c r="G5" s="27">
        <f t="shared" ref="G5:G14" si="1">F5/1000</f>
        <v>0.9</v>
      </c>
      <c r="H5" s="31">
        <f t="shared" ref="H5:H15" si="2">893.39*G5</f>
        <v>804.05100000000004</v>
      </c>
      <c r="I5" s="30">
        <f t="shared" ref="I5:I15" si="3">H5/N$2</f>
        <v>0.19800797891989069</v>
      </c>
      <c r="J5" s="31">
        <f t="shared" ref="J5:K15" si="4">H5*30</f>
        <v>24121.530000000002</v>
      </c>
      <c r="K5" s="30">
        <f t="shared" si="4"/>
        <v>5.9402393675967211</v>
      </c>
    </row>
    <row r="6" spans="1:14" x14ac:dyDescent="0.3">
      <c r="A6" s="29">
        <v>3</v>
      </c>
      <c r="B6" s="29" t="s">
        <v>60</v>
      </c>
      <c r="C6" s="29">
        <v>1</v>
      </c>
      <c r="D6" s="29">
        <v>66</v>
      </c>
      <c r="E6" s="29">
        <v>24</v>
      </c>
      <c r="F6" s="27">
        <f t="shared" si="0"/>
        <v>1584</v>
      </c>
      <c r="G6" s="27">
        <f t="shared" si="1"/>
        <v>1.5840000000000001</v>
      </c>
      <c r="H6" s="31">
        <f t="shared" si="2"/>
        <v>1415.12976</v>
      </c>
      <c r="I6" s="30">
        <f t="shared" si="3"/>
        <v>0.34849404289900759</v>
      </c>
      <c r="J6" s="31">
        <f t="shared" si="4"/>
        <v>42453.892800000001</v>
      </c>
      <c r="K6" s="30">
        <f t="shared" si="4"/>
        <v>10.454821286970228</v>
      </c>
    </row>
    <row r="7" spans="1:14" x14ac:dyDescent="0.3">
      <c r="A7" s="29">
        <v>4</v>
      </c>
      <c r="B7" s="29" t="s">
        <v>61</v>
      </c>
      <c r="C7" s="29">
        <v>1</v>
      </c>
      <c r="D7" s="29">
        <v>1500</v>
      </c>
      <c r="E7" s="29">
        <v>3</v>
      </c>
      <c r="F7" s="27">
        <f t="shared" si="0"/>
        <v>4500</v>
      </c>
      <c r="G7" s="27">
        <f t="shared" si="1"/>
        <v>4.5</v>
      </c>
      <c r="H7" s="31">
        <f t="shared" si="2"/>
        <v>4020.2550000000001</v>
      </c>
      <c r="I7" s="30">
        <f t="shared" si="3"/>
        <v>0.99003989459945341</v>
      </c>
      <c r="J7" s="31">
        <f t="shared" si="4"/>
        <v>120607.65000000001</v>
      </c>
      <c r="K7" s="30">
        <f t="shared" si="4"/>
        <v>29.701196837983602</v>
      </c>
    </row>
    <row r="8" spans="1:14" x14ac:dyDescent="0.3">
      <c r="A8" s="29">
        <v>5</v>
      </c>
      <c r="B8" s="29" t="s">
        <v>62</v>
      </c>
      <c r="C8" s="29">
        <v>2</v>
      </c>
      <c r="D8" s="29">
        <v>20</v>
      </c>
      <c r="E8" s="29">
        <v>2</v>
      </c>
      <c r="F8" s="27">
        <f t="shared" si="0"/>
        <v>40</v>
      </c>
      <c r="G8" s="27">
        <f t="shared" si="1"/>
        <v>0.04</v>
      </c>
      <c r="H8" s="31">
        <f t="shared" si="2"/>
        <v>35.735599999999998</v>
      </c>
      <c r="I8" s="30">
        <f t="shared" si="3"/>
        <v>8.8003546186618074E-3</v>
      </c>
      <c r="J8" s="31">
        <f t="shared" si="4"/>
        <v>1072.068</v>
      </c>
      <c r="K8" s="30">
        <f t="shared" si="4"/>
        <v>0.26401063855985424</v>
      </c>
    </row>
    <row r="9" spans="1:14" x14ac:dyDescent="0.3">
      <c r="A9" s="29">
        <v>6</v>
      </c>
      <c r="B9" s="29" t="s">
        <v>63</v>
      </c>
      <c r="C9" s="29">
        <v>3</v>
      </c>
      <c r="D9" s="29">
        <v>15</v>
      </c>
      <c r="E9" s="29">
        <v>24</v>
      </c>
      <c r="F9" s="27">
        <f t="shared" si="0"/>
        <v>360</v>
      </c>
      <c r="G9" s="27">
        <f t="shared" si="1"/>
        <v>0.36</v>
      </c>
      <c r="H9" s="31">
        <f t="shared" si="2"/>
        <v>321.62039999999996</v>
      </c>
      <c r="I9" s="30">
        <f t="shared" si="3"/>
        <v>7.9203191567956258E-2</v>
      </c>
      <c r="J9" s="31">
        <f t="shared" si="4"/>
        <v>9648.6119999999992</v>
      </c>
      <c r="K9" s="30">
        <f t="shared" si="4"/>
        <v>2.3760957470386876</v>
      </c>
    </row>
    <row r="10" spans="1:14" x14ac:dyDescent="0.3">
      <c r="A10" s="29">
        <v>7</v>
      </c>
      <c r="B10" s="29" t="s">
        <v>64</v>
      </c>
      <c r="C10" s="29">
        <v>2</v>
      </c>
      <c r="D10" s="29">
        <v>75</v>
      </c>
      <c r="E10" s="29">
        <v>1</v>
      </c>
      <c r="F10" s="27">
        <f t="shared" si="0"/>
        <v>75</v>
      </c>
      <c r="G10" s="27">
        <f t="shared" si="1"/>
        <v>7.4999999999999997E-2</v>
      </c>
      <c r="H10" s="31">
        <f t="shared" si="2"/>
        <v>67.004249999999999</v>
      </c>
      <c r="I10" s="30">
        <f t="shared" si="3"/>
        <v>1.650066490999089E-2</v>
      </c>
      <c r="J10" s="31">
        <f t="shared" si="4"/>
        <v>2010.1275000000001</v>
      </c>
      <c r="K10" s="30">
        <f t="shared" si="4"/>
        <v>0.4950199472997267</v>
      </c>
    </row>
    <row r="11" spans="1:14" x14ac:dyDescent="0.3">
      <c r="A11" s="29">
        <v>8</v>
      </c>
      <c r="B11" s="29" t="s">
        <v>65</v>
      </c>
      <c r="C11" s="29">
        <v>1</v>
      </c>
      <c r="D11" s="29">
        <v>1000</v>
      </c>
      <c r="E11" s="29">
        <v>0</v>
      </c>
      <c r="F11" s="27">
        <f t="shared" si="0"/>
        <v>0</v>
      </c>
      <c r="G11" s="27">
        <f t="shared" si="1"/>
        <v>0</v>
      </c>
      <c r="H11" s="31">
        <f t="shared" si="2"/>
        <v>0</v>
      </c>
      <c r="I11" s="30">
        <f t="shared" si="3"/>
        <v>0</v>
      </c>
      <c r="J11" s="31">
        <f t="shared" si="4"/>
        <v>0</v>
      </c>
      <c r="K11" s="30">
        <f t="shared" si="4"/>
        <v>0</v>
      </c>
    </row>
    <row r="12" spans="1:14" x14ac:dyDescent="0.3">
      <c r="A12" s="29">
        <v>9</v>
      </c>
      <c r="B12" s="29" t="s">
        <v>66</v>
      </c>
      <c r="C12" s="29">
        <v>1</v>
      </c>
      <c r="D12" s="29">
        <v>500</v>
      </c>
      <c r="E12" s="29">
        <f>4/7</f>
        <v>0.5714285714285714</v>
      </c>
      <c r="F12" s="27">
        <f t="shared" si="0"/>
        <v>285.71428571428572</v>
      </c>
      <c r="G12" s="27">
        <f t="shared" si="1"/>
        <v>0.2857142857142857</v>
      </c>
      <c r="H12" s="31">
        <f t="shared" si="2"/>
        <v>255.25428571428569</v>
      </c>
      <c r="I12" s="30">
        <f t="shared" si="3"/>
        <v>6.2859675847584326E-2</v>
      </c>
      <c r="J12" s="31">
        <f t="shared" si="4"/>
        <v>7657.6285714285705</v>
      </c>
      <c r="K12" s="30">
        <f t="shared" si="4"/>
        <v>1.8857902754275297</v>
      </c>
    </row>
    <row r="13" spans="1:14" x14ac:dyDescent="0.3">
      <c r="A13" s="29">
        <v>10</v>
      </c>
      <c r="B13" s="29" t="s">
        <v>67</v>
      </c>
      <c r="C13" s="29">
        <v>1</v>
      </c>
      <c r="D13" s="29">
        <v>1500</v>
      </c>
      <c r="E13" s="29">
        <v>0</v>
      </c>
      <c r="F13" s="27">
        <f t="shared" si="0"/>
        <v>0</v>
      </c>
      <c r="G13" s="27">
        <f t="shared" si="1"/>
        <v>0</v>
      </c>
      <c r="H13" s="31">
        <f t="shared" si="2"/>
        <v>0</v>
      </c>
      <c r="I13" s="30">
        <f t="shared" si="3"/>
        <v>0</v>
      </c>
      <c r="J13" s="31">
        <f t="shared" si="4"/>
        <v>0</v>
      </c>
      <c r="K13" s="30">
        <f t="shared" si="4"/>
        <v>0</v>
      </c>
    </row>
    <row r="14" spans="1:14" x14ac:dyDescent="0.3">
      <c r="A14" s="29">
        <v>11</v>
      </c>
      <c r="B14" s="29" t="s">
        <v>68</v>
      </c>
      <c r="C14" s="29">
        <v>1</v>
      </c>
      <c r="D14" s="29">
        <v>100</v>
      </c>
      <c r="E14" s="29">
        <v>13</v>
      </c>
      <c r="F14" s="27">
        <f t="shared" si="0"/>
        <v>1300</v>
      </c>
      <c r="G14" s="27">
        <f t="shared" si="1"/>
        <v>1.3</v>
      </c>
      <c r="H14" s="31">
        <f t="shared" si="2"/>
        <v>1161.4069999999999</v>
      </c>
      <c r="I14" s="30">
        <f t="shared" si="3"/>
        <v>0.28601152510650873</v>
      </c>
      <c r="J14" s="31">
        <f t="shared" si="4"/>
        <v>34842.21</v>
      </c>
      <c r="K14" s="30">
        <f t="shared" si="4"/>
        <v>8.580345753195262</v>
      </c>
    </row>
    <row r="15" spans="1:14" x14ac:dyDescent="0.3">
      <c r="F15" s="27">
        <f>SUM(F4:F14)</f>
        <v>9084.7142857142862</v>
      </c>
      <c r="G15" s="27">
        <f>SUM(G4:G14)</f>
        <v>9.084714285714286</v>
      </c>
      <c r="H15" s="31">
        <f t="shared" si="2"/>
        <v>8116.1928957142854</v>
      </c>
      <c r="I15" s="30">
        <f t="shared" si="3"/>
        <v>1.9987176830877154</v>
      </c>
      <c r="J15" s="31">
        <f>SUM(J4:J14)</f>
        <v>243485.78687142854</v>
      </c>
      <c r="K15" s="30">
        <f t="shared" si="4"/>
        <v>59.961530492631461</v>
      </c>
    </row>
    <row r="16" spans="1:14" x14ac:dyDescent="0.3">
      <c r="J16" s="28"/>
    </row>
  </sheetData>
  <mergeCells count="3">
    <mergeCell ref="A1:G2"/>
    <mergeCell ref="H1:I2"/>
    <mergeCell ref="J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Medidas Casa</vt:lpstr>
      <vt:lpstr>Tabla de 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Andres Peña Rojas</dc:creator>
  <cp:lastModifiedBy>Eduardo Andres Peña Rojas</cp:lastModifiedBy>
  <dcterms:created xsi:type="dcterms:W3CDTF">2023-08-28T18:56:24Z</dcterms:created>
  <dcterms:modified xsi:type="dcterms:W3CDTF">2023-09-02T02:34:09Z</dcterms:modified>
</cp:coreProperties>
</file>