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zztime\Desktop\TARge24\Kont_tarkvara_automat\"/>
    </mc:Choice>
  </mc:AlternateContent>
  <xr:revisionPtr revIDLastSave="0" documentId="13_ncr:1_{8E460A0C-D701-4A0C-9DC0-6C422482DD40}" xr6:coauthVersionLast="47" xr6:coauthVersionMax="47" xr10:uidLastSave="{00000000-0000-0000-0000-000000000000}"/>
  <bookViews>
    <workbookView xWindow="-108" yWindow="-108" windowWidth="23256" windowHeight="12576" xr2:uid="{FA68334B-425E-4BFE-AC2A-0960C3F67561}"/>
  </bookViews>
  <sheets>
    <sheet name="Leh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52" i="1" l="1"/>
  <c r="G53" i="1"/>
  <c r="G55" i="1"/>
  <c r="G56" i="1"/>
  <c r="G57" i="1"/>
  <c r="G58" i="1"/>
  <c r="G59" i="1"/>
  <c r="G60" i="1"/>
  <c r="G61" i="1"/>
  <c r="G62" i="1"/>
  <c r="G63" i="1"/>
  <c r="G64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33" i="1"/>
  <c r="C68" i="1"/>
  <c r="C69" i="1"/>
  <c r="E37" i="1"/>
  <c r="E29" i="1"/>
  <c r="I21" i="1"/>
  <c r="K37" i="1"/>
  <c r="K36" i="1"/>
  <c r="K30" i="1"/>
  <c r="K29" i="1"/>
  <c r="K28" i="1"/>
  <c r="K27" i="1"/>
  <c r="C34" i="1"/>
  <c r="C30" i="1"/>
  <c r="C35" i="1"/>
  <c r="C33" i="1"/>
  <c r="C32" i="1"/>
  <c r="C31" i="1"/>
  <c r="C28" i="1" l="1"/>
  <c r="C26" i="1"/>
  <c r="M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K2" i="1"/>
  <c r="K3" i="1"/>
  <c r="K4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5" i="1"/>
  <c r="J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L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I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2" i="1"/>
  <c r="I23" i="1"/>
  <c r="I24" i="1"/>
  <c r="K35" i="1" l="1"/>
  <c r="C36" i="1"/>
  <c r="K32" i="1"/>
  <c r="K31" i="1"/>
  <c r="C27" i="1"/>
  <c r="K34" i="1"/>
  <c r="K33" i="1"/>
  <c r="C29" i="1"/>
  <c r="J62" i="1"/>
  <c r="H62" i="1"/>
  <c r="I62" i="1" s="1"/>
  <c r="J61" i="1"/>
  <c r="I61" i="1"/>
  <c r="H61" i="1"/>
  <c r="H63" i="1"/>
  <c r="I63" i="1" s="1"/>
  <c r="J63" i="1"/>
  <c r="J56" i="1"/>
  <c r="H56" i="1"/>
  <c r="I56" i="1" s="1"/>
  <c r="I60" i="1"/>
  <c r="H60" i="1"/>
  <c r="J60" i="1"/>
  <c r="J55" i="1"/>
  <c r="H55" i="1"/>
  <c r="I55" i="1" s="1"/>
  <c r="H57" i="1"/>
  <c r="I57" i="1" s="1"/>
  <c r="I59" i="1"/>
  <c r="H59" i="1"/>
  <c r="J59" i="1"/>
  <c r="J64" i="1"/>
  <c r="H64" i="1"/>
  <c r="I64" i="1" s="1"/>
  <c r="J53" i="1"/>
  <c r="H53" i="1"/>
  <c r="I53" i="1" s="1"/>
  <c r="J57" i="1"/>
  <c r="H58" i="1"/>
  <c r="I58" i="1" s="1"/>
  <c r="J58" i="1"/>
  <c r="H52" i="1"/>
  <c r="I52" i="1" s="1"/>
  <c r="J52" i="1"/>
  <c r="I54" i="1"/>
  <c r="H54" i="1"/>
  <c r="C70" i="1"/>
  <c r="G54" i="1"/>
  <c r="J54" i="1"/>
</calcChain>
</file>

<file path=xl/sharedStrings.xml><?xml version="1.0" encoding="utf-8"?>
<sst xmlns="http://schemas.openxmlformats.org/spreadsheetml/2006/main" count="160" uniqueCount="144">
  <si>
    <t>ID</t>
  </si>
  <si>
    <t>EESNIMI</t>
  </si>
  <si>
    <t>PEREKONNANIMI</t>
  </si>
  <si>
    <t>AMETIKOHT</t>
  </si>
  <si>
    <t>TÖÖSTAAŠ</t>
  </si>
  <si>
    <t>PALK(BRUTO)</t>
  </si>
  <si>
    <t>ÜLETUNNID</t>
  </si>
  <si>
    <t>ÜLETUNNID GRAAFILISELT</t>
  </si>
  <si>
    <t>PALK(NETTO)</t>
  </si>
  <si>
    <t>TUNNITASU</t>
  </si>
  <si>
    <t>BOONUS(JAH/EI)</t>
  </si>
  <si>
    <t>BOONUSE SUURUS</t>
  </si>
  <si>
    <t>ÜLETUNNITASU</t>
  </si>
  <si>
    <t>Gervin</t>
  </si>
  <si>
    <t>Velling</t>
  </si>
  <si>
    <t>Turulinn</t>
  </si>
  <si>
    <t>Otto</t>
  </si>
  <si>
    <t>Anna</t>
  </si>
  <si>
    <t>Tarlap</t>
  </si>
  <si>
    <t>Marcus</t>
  </si>
  <si>
    <t>Tippi</t>
  </si>
  <si>
    <t>Reten</t>
  </si>
  <si>
    <t>Suurhans</t>
  </si>
  <si>
    <t>Kati</t>
  </si>
  <si>
    <t>Shapovalov</t>
  </si>
  <si>
    <t>Mark</t>
  </si>
  <si>
    <t>Sepp</t>
  </si>
  <si>
    <t>Kaspar Daniel</t>
  </si>
  <si>
    <t>Katri</t>
  </si>
  <si>
    <t>Rungi</t>
  </si>
  <si>
    <t xml:space="preserve">Ketter </t>
  </si>
  <si>
    <t>Randla</t>
  </si>
  <si>
    <t>Jelena</t>
  </si>
  <si>
    <t>Raid</t>
  </si>
  <si>
    <t>Priimägi</t>
  </si>
  <si>
    <t>Mario</t>
  </si>
  <si>
    <t xml:space="preserve"> Penkina</t>
  </si>
  <si>
    <t>Orvet</t>
  </si>
  <si>
    <t>Kevin</t>
  </si>
  <si>
    <t>Mitt</t>
  </si>
  <si>
    <t>Kerttu</t>
  </si>
  <si>
    <t>Lotamõis</t>
  </si>
  <si>
    <t>Anneli</t>
  </si>
  <si>
    <t>Laherand</t>
  </si>
  <si>
    <t>Riho</t>
  </si>
  <si>
    <t>Kuusik</t>
  </si>
  <si>
    <t>Timofei</t>
  </si>
  <si>
    <t>Koppel</t>
  </si>
  <si>
    <t>Robert</t>
  </si>
  <si>
    <t>Grünberg</t>
  </si>
  <si>
    <t>Tauno</t>
  </si>
  <si>
    <t>Fomina</t>
  </si>
  <si>
    <t>Freddie Anton</t>
  </si>
  <si>
    <t>Antson</t>
  </si>
  <si>
    <t>Anne-Mari</t>
  </si>
  <si>
    <t>Ansi</t>
  </si>
  <si>
    <t>Klooster</t>
  </si>
  <si>
    <t>Filiaali juht</t>
  </si>
  <si>
    <t>Juhatuse liige</t>
  </si>
  <si>
    <t>Süsteemiadministraator</t>
  </si>
  <si>
    <t>Administraatori abi</t>
  </si>
  <si>
    <t>IT tehnik</t>
  </si>
  <si>
    <t>Arendaja</t>
  </si>
  <si>
    <t>Kaughaldus</t>
  </si>
  <si>
    <t>Riistvara haldus</t>
  </si>
  <si>
    <t>Müügiosakond</t>
  </si>
  <si>
    <t>Transport</t>
  </si>
  <si>
    <t>PALGAKULU KOKKU (BRUTO)</t>
  </si>
  <si>
    <t>PALGAKULU KOKKU (NETO)</t>
  </si>
  <si>
    <t>KESKMINE PALK FIRMAS (BRUTO)</t>
  </si>
  <si>
    <t>KESKMINE PALK FIRMAS (NETO)</t>
  </si>
  <si>
    <t xml:space="preserve">ÜLE 2500 EURO TEENIVATE TÖÖTAJATE ARV </t>
  </si>
  <si>
    <t xml:space="preserve">TÖÖSTAAŽ KOKKU </t>
  </si>
  <si>
    <t>KESKMINE TÖÖSTAAŽ</t>
  </si>
  <si>
    <t xml:space="preserve">ÜLETUNDE KOKKU </t>
  </si>
  <si>
    <t>ÜLETUNDE TEINUD INIMESTE ARV</t>
  </si>
  <si>
    <t>KESKMINE ÜLETUNDIDE ARV</t>
  </si>
  <si>
    <t>KESKMINE ÜLETUNNITASU</t>
  </si>
  <si>
    <t>ÜLETUNNID GRAAFILISELT: Kuvatakse "data bar'i" kus madalaim väärtus madalaim ületund ja kõrgeim väärtus kõrgeim ületund. Näide pildil.</t>
  </si>
  <si>
    <t>PALK(NETTO): bruto -25%</t>
  </si>
  <si>
    <t>BOONUS: (JAH/EI): Kuvatakse lahtris kas JAH või EI väärtust (taust vastavalt roheline/punane) Boonuse tingimus: Vähemalt 20 ületundi.</t>
  </si>
  <si>
    <t>BOONUSE SUURUS: 20% netopalgast</t>
  </si>
  <si>
    <t>ÜLETUNNITASU: Tund: Tunnitasu + 25%</t>
  </si>
  <si>
    <t>TUNNITASU: Brutotasu / 160</t>
  </si>
  <si>
    <t>TÖÖTAJA OTSING (ID)</t>
  </si>
  <si>
    <t>TÖÖTAJA PALGAOTSING</t>
  </si>
  <si>
    <t>TÖÖTAJA BOONUS</t>
  </si>
  <si>
    <t>KÕRGEIM PALK FIRMAS</t>
  </si>
  <si>
    <t>MADALAIM PALK FIRMAS</t>
  </si>
  <si>
    <t>ARENDAJAID FIRMAS KOKKU</t>
  </si>
  <si>
    <t>FILIAALIJUHTE</t>
  </si>
  <si>
    <t>BOONUSE SAAJAID KOKKU</t>
  </si>
  <si>
    <t>BOONUSE MITTESAAJAID KOKKU</t>
  </si>
  <si>
    <t>BOONUSE KESKMINE SUURUS</t>
  </si>
  <si>
    <t xml:space="preserve">BOONUSE KULU FIRMALE KOKKU </t>
  </si>
  <si>
    <t xml:space="preserve">ÜLETUNNITASU KULU FIRMALE KOKKU </t>
  </si>
  <si>
    <t>SUURIM TÖÖSTAAŽ</t>
  </si>
  <si>
    <t>VÄIKSEM TÖÖSTAAŽ</t>
  </si>
  <si>
    <t>OBJEKT</t>
  </si>
  <si>
    <t>SISSEOSTU HIND</t>
  </si>
  <si>
    <t>OSTETUD OBJEKTE (tk)</t>
  </si>
  <si>
    <t>Ladustamiskulu objekti kohta (e)</t>
  </si>
  <si>
    <t>MÜÜGIHIND</t>
  </si>
  <si>
    <t>MÜÜDUD OBJEKTE (tk)</t>
  </si>
  <si>
    <t>LAOJÄÄKE HETKEL(tk)</t>
  </si>
  <si>
    <t>LAOJÄÄK % GRAAFILISELT</t>
  </si>
  <si>
    <t>KRIITILINE?</t>
  </si>
  <si>
    <t xml:space="preserve"> </t>
  </si>
  <si>
    <t>LADUSTAMISKULU HETKEL (e)</t>
  </si>
  <si>
    <t>BRUTOKASUM MÜÜGILT (e)</t>
  </si>
  <si>
    <t>NETOKASUM MÜÜGILT (e)</t>
  </si>
  <si>
    <t>Protsessor Intel</t>
  </si>
  <si>
    <t>Protsessor AMD</t>
  </si>
  <si>
    <t>Emaplaat</t>
  </si>
  <si>
    <t>Videokaart 3090</t>
  </si>
  <si>
    <t>Videokaart 4090</t>
  </si>
  <si>
    <t>SSD</t>
  </si>
  <si>
    <t>HDD</t>
  </si>
  <si>
    <t>SSD M.2</t>
  </si>
  <si>
    <t>RAM DDR4</t>
  </si>
  <si>
    <t>RAM DDR5</t>
  </si>
  <si>
    <t>Korpus FT</t>
  </si>
  <si>
    <t>Korpus MT</t>
  </si>
  <si>
    <t>Toiteplokk</t>
  </si>
  <si>
    <t>LADUSTAMIST KOKKU</t>
  </si>
  <si>
    <t>LADUSTAMISKULU HETKEL</t>
  </si>
  <si>
    <t>LAOJÄÄK KOKKU</t>
  </si>
  <si>
    <t>KALLEIM LADUSTAMISOBJEKT</t>
  </si>
  <si>
    <t>OBJEKTIDE ARV MILLE LADUSTAMISHIND ÜLE 5 EURO</t>
  </si>
  <si>
    <t>OBJEKTIDE ARV MILLE LADUSTAMISHIND ALLA 5 EURO</t>
  </si>
  <si>
    <t>LAOSEIS KOKKU %</t>
  </si>
  <si>
    <t>KRIITILISTE OBJEKTIDE ARV:</t>
  </si>
  <si>
    <t>LAOJÄÄGI KONTROLL</t>
  </si>
  <si>
    <t>MÜÜGIKONTROLL</t>
  </si>
  <si>
    <t xml:space="preserve">KÕIGE SUUREM BRUTOKASUM MÜÜGILT </t>
  </si>
  <si>
    <t xml:space="preserve">KÕIGE VÄIKSEM BRUTOKASUM MÜÜGILT </t>
  </si>
  <si>
    <t xml:space="preserve">KÕIGE SUUREM NETOKASUM MÜÜGILT </t>
  </si>
  <si>
    <t xml:space="preserve">KÕIGE VÄIKSEM NETOKASUM MÜÜGILT </t>
  </si>
  <si>
    <t>OBJEKTIDE ARV, MIDA OSTETI ROHKEM KUI 100</t>
  </si>
  <si>
    <t>OBJEKTIDE ARV MILLE LADUSTAMISHIND ON ÜLE 8 €</t>
  </si>
  <si>
    <t>KESKMINE BRUTOKASUM MÜÜGILT</t>
  </si>
  <si>
    <t>KESKMINE NETOKASUM MÜÜGILT</t>
  </si>
  <si>
    <t>MÜÜGIHIND: Sisseostuhind +50%</t>
  </si>
  <si>
    <t>Kriiline: Kui toodet on laos alla 30% tellitud kogusest muutub lahter kollaseks, peal kiri "kriitiline", kui alla 10% siis punane ja peal kiri "telli juurde"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</si>
</sst>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-* #,##0.00\ &quot;€&quot;_-;\-* #,##0.00\ &quot;€&quot;_-;_-* &quot;-&quot;??\ &quot;€&quot;_-;_-@_-"/>
    <numFmt numFmtId="164" formatCode="_-[$€-2]\ * #,##0_-;\-[$€-2]\ * #,##0_-;_-[$€-2]\ * &quot;-&quot;??_-;_-@_-"/>
    <numFmt numFmtId="165" formatCode="_-* #,##0\ [$€-425]_-;\-* #,##0\ [$€-425]_-;_-* &quot;-&quot;??\ [$€-425]_-;_-@_-"/>
    <numFmt numFmtId="166" formatCode="#,##0.00\ &quot;€&quot;"/>
    <numFmt numFmtId="167" formatCode="_-[$€-2]\ * #,##0.00_-;\-[$€-2]\ * #,##0.00_-;_-[$€-2]\ * &quot;-&quot;??_-;_-@_-"/>
    <numFmt numFmtId="168" formatCode="0;[Red]0"/>
  </numFmts>
  <fonts count="8" x14ac:knownFonts="1">
    <font>
      <sz val="11"/>
      <color theme="1"/>
      <name val="Calibri"/>
      <family val="2"/>
      <charset val="186"/>
      <scheme val="minor"/>
    </font>
    <font>
      <sz val="11"/>
      <color theme="1"/>
      <name val="Calibri"/>
      <family val="2"/>
      <charset val="186"/>
      <scheme val="minor"/>
    </font>
    <font>
      <sz val="8"/>
      <name val="Calibri"/>
      <family val="2"/>
      <charset val="186"/>
      <scheme val="minor"/>
    </font>
    <font>
      <sz val="14"/>
      <color theme="1"/>
      <name val="Calibri"/>
      <family val="2"/>
      <charset val="186"/>
      <scheme val="minor"/>
    </font>
    <font>
      <sz val="14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70C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Border="1"/>
    <xf numFmtId="0" fontId="0" fillId="4" borderId="1" xfId="0" applyFill="1" applyBorder="1"/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164" fontId="0" fillId="3" borderId="1" xfId="0" applyNumberFormat="1" applyFill="1" applyBorder="1" applyAlignment="1">
      <alignment horizontal="center" vertical="center"/>
    </xf>
    <xf numFmtId="164" fontId="0" fillId="4" borderId="1" xfId="0" applyNumberForma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5" fillId="0" borderId="0" xfId="0" applyFont="1"/>
    <xf numFmtId="164" fontId="0" fillId="4" borderId="1" xfId="0" applyNumberFormat="1" applyFill="1" applyBorder="1"/>
    <xf numFmtId="2" fontId="0" fillId="4" borderId="1" xfId="0" applyNumberFormat="1" applyFill="1" applyBorder="1"/>
    <xf numFmtId="165" fontId="0" fillId="4" borderId="1" xfId="0" applyNumberFormat="1" applyFill="1" applyBorder="1"/>
    <xf numFmtId="166" fontId="0" fillId="4" borderId="1" xfId="1" applyNumberFormat="1" applyFont="1" applyFill="1" applyBorder="1"/>
    <xf numFmtId="0" fontId="7" fillId="0" borderId="1" xfId="0" applyFont="1" applyBorder="1" applyAlignment="1">
      <alignment horizontal="center" vertical="center"/>
    </xf>
    <xf numFmtId="167" fontId="0" fillId="3" borderId="1" xfId="1" applyNumberFormat="1" applyFont="1" applyFill="1" applyBorder="1" applyAlignment="1">
      <alignment horizontal="center" vertical="center"/>
    </xf>
    <xf numFmtId="168" fontId="0" fillId="3" borderId="1" xfId="0" applyNumberFormat="1" applyFill="1" applyBorder="1" applyAlignment="1">
      <alignment horizontal="center" vertical="center"/>
    </xf>
    <xf numFmtId="0" fontId="0" fillId="4" borderId="3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6" fillId="5" borderId="3" xfId="0" applyFont="1" applyFill="1" applyBorder="1" applyAlignment="1">
      <alignment horizontal="center"/>
    </xf>
    <xf numFmtId="0" fontId="6" fillId="5" borderId="5" xfId="0" applyFont="1" applyFill="1" applyBorder="1" applyAlignment="1">
      <alignment horizontal="center"/>
    </xf>
    <xf numFmtId="0" fontId="6" fillId="5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0" fillId="4" borderId="1" xfId="1" applyNumberFormat="1" applyFont="1" applyFill="1" applyBorder="1"/>
    <xf numFmtId="168" fontId="0" fillId="4" borderId="1" xfId="0" applyNumberFormat="1" applyFill="1" applyBorder="1"/>
    <xf numFmtId="168" fontId="0" fillId="4" borderId="1" xfId="0" applyNumberFormat="1" applyFill="1" applyBorder="1" applyAlignment="1">
      <alignment horizontal="center" vertical="center"/>
    </xf>
    <xf numFmtId="9" fontId="0" fillId="4" borderId="1" xfId="2" applyFont="1" applyFill="1" applyBorder="1" applyAlignment="1">
      <alignment horizontal="center" vertical="center"/>
    </xf>
  </cellXfs>
  <cellStyles count="3">
    <cellStyle name="Normaallaad" xfId="0" builtinId="0"/>
    <cellStyle name="Protsent" xfId="2" builtinId="5"/>
    <cellStyle name="Valuuta" xfId="1" builtinId="4"/>
  </cellStyles>
  <dxfs count="38">
    <dxf>
      <numFmt numFmtId="168" formatCode="0;[Red]0"/>
      <fill>
        <patternFill patternType="solid">
          <fgColor indexed="64"/>
          <bgColor theme="5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numFmt numFmtId="164" formatCode="_-[$€-2]\ * #,##0_-;\-[$€-2]\ * #,##0_-;_-[$€-2]\ * &quot;-&quot;??_-;_-@_-"/>
      <fill>
        <patternFill patternType="solid">
          <fgColor indexed="64"/>
          <bgColor theme="5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_-[$€-2]\ * #,##0_-;\-[$€-2]\ * #,##0_-;_-[$€-2]\ * &quot;-&quot;??_-;_-@_-"/>
      <fill>
        <patternFill patternType="solid">
          <fgColor indexed="64"/>
          <bgColor theme="5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_-[$€-2]\ * #,##0_-;\-[$€-2]\ * #,##0_-;_-[$€-2]\ * &quot;-&quot;??_-;_-@_-"/>
      <fill>
        <patternFill patternType="solid">
          <fgColor indexed="64"/>
          <bgColor theme="5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_-[$€-2]\ * #,##0_-;\-[$€-2]\ * #,##0_-;_-[$€-2]\ * &quot;-&quot;??_-;_-@_-"/>
      <fill>
        <patternFill patternType="solid">
          <fgColor indexed="64"/>
          <bgColor theme="5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" formatCode="0"/>
      <fill>
        <patternFill patternType="solid">
          <fgColor indexed="64"/>
          <bgColor theme="5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_-[$€-2]\ * #,##0_-;\-[$€-2]\ * #,##0_-;_-[$€-2]\ * &quot;-&quot;??_-;_-@_-"/>
      <fill>
        <patternFill patternType="solid">
          <fgColor indexed="64"/>
          <bgColor theme="5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8" formatCode="0;[Red]0"/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7" formatCode="_-[$€-2]\ * #,##0.00_-;\-[$€-2]\ * #,##0.00_-;_-[$€-2]\ * &quot;-&quot;??_-;_-@_-"/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_-[$€-2]\ * #,##0_-;\-[$€-2]\ * #,##0_-;_-[$€-2]\ * &quot;-&quot;??_-;_-@_-"/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64" formatCode="_-[$€-2]\ * #,##0_-;\-[$€-2]\ * #,##0_-;_-[$€-2]\ * &quot;-&quot;??_-;_-@_-"/>
      <fill>
        <patternFill patternType="solid">
          <fgColor indexed="64"/>
          <bgColor theme="5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_-[$€-2]\ * #,##0_-;\-[$€-2]\ * #,##0_-;_-[$€-2]\ * &quot;-&quot;??_-;_-@_-"/>
      <fill>
        <patternFill patternType="solid">
          <fgColor indexed="64"/>
          <bgColor theme="5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fill>
        <patternFill patternType="solid">
          <fgColor indexed="64"/>
          <bgColor theme="5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_-[$€-2]\ * #,##0_-;\-[$€-2]\ * #,##0_-;_-[$€-2]\ * &quot;-&quot;??_-;_-@_-"/>
      <fill>
        <patternFill patternType="solid">
          <fgColor indexed="64"/>
          <bgColor theme="5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_-[$€-2]\ * #,##0_-;\-[$€-2]\ * #,##0_-;_-[$€-2]\ * &quot;-&quot;??_-;_-@_-"/>
      <fill>
        <patternFill patternType="solid">
          <fgColor indexed="64"/>
          <bgColor theme="5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5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_-[$€-2]\ * #,##0_-;\-[$€-2]\ * #,##0_-;_-[$€-2]\ * &quot;-&quot;??_-;_-@_-"/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C76F677-A43A-4F73-8E85-8C1FB89D7597}" name="Tabel3" displayName="Tabel3" ref="A1:M24" totalsRowShown="0" headerRowDxfId="37" dataDxfId="35" headerRowBorderDxfId="36">
  <autoFilter ref="A1:M24" xr:uid="{2C76F677-A43A-4F73-8E85-8C1FB89D7597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</autoFilter>
  <tableColumns count="13">
    <tableColumn id="1" xr3:uid="{366A9F96-E515-4FC9-A09B-000100920F58}" name="ID" dataDxfId="34"/>
    <tableColumn id="2" xr3:uid="{E83F7595-5A5D-4E15-AA16-6BF968754DCB}" name="EESNIMI" dataDxfId="33"/>
    <tableColumn id="3" xr3:uid="{923C3887-208D-492D-9ADA-75A9DECF413F}" name="PEREKONNANIMI" dataDxfId="32"/>
    <tableColumn id="4" xr3:uid="{B99753AE-2177-4CE0-BF4A-C53BA1A0302E}" name="AMETIKOHT" dataDxfId="31"/>
    <tableColumn id="5" xr3:uid="{F42D1335-48A5-419E-AF3C-C74B8270A572}" name="TÖÖSTAAŠ" dataDxfId="30"/>
    <tableColumn id="6" xr3:uid="{AF9918DF-3E8D-4428-86BF-F5C0DB694E74}" name="PALK(BRUTO)" dataDxfId="29"/>
    <tableColumn id="7" xr3:uid="{5B77FCE8-BE2C-4293-A3FC-27C65E8A60B0}" name="ÜLETUNNID" dataDxfId="28"/>
    <tableColumn id="8" xr3:uid="{A0E639C3-A983-4F98-8A83-159C1858DCC0}" name="ÜLETUNNID GRAAFILISELT" dataDxfId="27"/>
    <tableColumn id="9" xr3:uid="{D65C2BDE-5D16-4F59-9523-80AB6FE45EBC}" name="PALK(NETTO)" dataDxfId="26">
      <calculatedColumnFormula>Tabel3[[#This Row],[PALK(BRUTO)]]*0.75</calculatedColumnFormula>
    </tableColumn>
    <tableColumn id="10" xr3:uid="{40B45F9A-7815-4362-9AD8-CA592BB5492A}" name="TUNNITASU" dataDxfId="25">
      <calculatedColumnFormula>Tabel3[[#This Row],[PALK(BRUTO)]]/160</calculatedColumnFormula>
    </tableColumn>
    <tableColumn id="11" xr3:uid="{B731333D-DC54-427A-8B24-E0F5FCF9B1F9}" name="BOONUS(JAH/EI)" dataDxfId="24">
      <calculatedColumnFormula>IF(G2&gt;=20,"JAH","EI")</calculatedColumnFormula>
    </tableColumn>
    <tableColumn id="12" xr3:uid="{29A73989-AABA-4C57-90B4-784995D432EE}" name="BOONUSE SUURUS" dataDxfId="23">
      <calculatedColumnFormula>Tabel3[[#This Row],[PALK(BRUTO)]]*20%</calculatedColumnFormula>
    </tableColumn>
    <tableColumn id="13" xr3:uid="{D2FECE67-94B2-43FC-BFDB-857715BE7B94}" name="ÜLETUNNITASU" dataDxfId="22">
      <calculatedColumnFormula>H2+(F2*0.75)</calculatedColumnFormula>
    </tableColumn>
  </tableColumns>
  <tableStyleInfo name="TableStyleMedium2" showFirstColumn="0" showLastColumn="0" showRowStripes="1" showColumnStripes="1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0F4F189-8BBB-4AB9-BC63-9B70EE0C1A10}" name="Tabel32" displayName="Tabel32" ref="A51:L64" totalsRowShown="0" headerRowDxfId="21" dataDxfId="19" headerRowBorderDxfId="20">
  <autoFilter ref="A51:L64" xr:uid="{C0F4F189-8BBB-4AB9-BC63-9B70EE0C1A1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</autoFilter>
  <tableColumns count="12">
    <tableColumn id="1" xr3:uid="{ED2391F9-3393-4DD0-BF32-E80013FE265F}" name="OBJEKT" dataDxfId="18"/>
    <tableColumn id="2" xr3:uid="{564E94AA-3A67-48C3-BA0A-84F36D727A49}" name="SISSEOSTU HIND" dataDxfId="17"/>
    <tableColumn id="3" xr3:uid="{F4FA60E0-4E82-4959-A87F-AC0203D63E8F}" name="OSTETUD OBJEKTE (tk)" dataDxfId="16"/>
    <tableColumn id="4" xr3:uid="{E9ECB892-17C2-4FF3-8FF6-FF72CFBC5485}" name="Ladustamiskulu objekti kohta (e)" dataDxfId="15" dataCellStyle="Valuuta"/>
    <tableColumn id="5" xr3:uid="{91BB894D-622C-4A6F-95A9-3256E443F312}" name="MÜÜGIHIND" dataDxfId="13">
      <calculatedColumnFormula>Tabel32[[#This Row],[SISSEOSTU HIND]]/50%+Tabel32[[#This Row],[SISSEOSTU HIND]]</calculatedColumnFormula>
    </tableColumn>
    <tableColumn id="6" xr3:uid="{B353AEC5-300C-4430-A24C-681C4B97B923}" name="MÜÜDUD OBJEKTE (tk)" dataDxfId="14"/>
    <tableColumn id="7" xr3:uid="{C2DF9B6F-68AE-4A0B-8A17-C4A9B79B5352}" name="LAOJÄÄKE HETKEL(tk)" dataDxfId="0">
      <calculatedColumnFormula>SUM(Tabel32[[#This Row],[OSTETUD OBJEKTE (tk)]]-Tabel32[[#This Row],[MÜÜDUD OBJEKTE (tk)]])</calculatedColumnFormula>
    </tableColumn>
    <tableColumn id="8" xr3:uid="{1638E34F-758C-4D3F-998B-2E938C5929F1}" name="LAOJÄÄK % GRAAFILISELT" dataDxfId="12" dataCellStyle="Protsent">
      <calculatedColumnFormula>(G52/C52)</calculatedColumnFormula>
    </tableColumn>
    <tableColumn id="9" xr3:uid="{60E7754E-97E0-4080-9742-CD9A3C5B716D}" name="KRIITILINE?" dataDxfId="8">
      <calculatedColumnFormula>IF(H52&lt;10%,"telli juurde",IF(H52&lt;30%,"kriitiline","OK"))</calculatedColumnFormula>
    </tableColumn>
    <tableColumn id="10" xr3:uid="{7D0ADFB3-9D4D-40E3-811E-6B987E6C54F6}" name="LADUSTAMISKULU HETKEL (e)" dataDxfId="11">
      <calculatedColumnFormula>Tabel32[[#This Row],[LAOJÄÄKE HETKEL(tk)]]*Tabel32[[#This Row],[Ladustamiskulu objekti kohta (e)]]</calculatedColumnFormula>
    </tableColumn>
    <tableColumn id="11" xr3:uid="{1809D61F-BB6B-4BB0-B3BB-74872AB03286}" name="BRUTOKASUM MÜÜGILT (e)" dataDxfId="10">
      <calculatedColumnFormula>Tabel32[[#This Row],[MÜÜGIHIND]]*Tabel32[[#This Row],[MÜÜDUD OBJEKTE (tk)]]</calculatedColumnFormula>
    </tableColumn>
    <tableColumn id="12" xr3:uid="{AADD430B-4ED4-43F3-A28C-4F066C56FDF5}" name="NETOKASUM MÜÜGILT (e)" dataDxfId="9">
      <calculatedColumnFormula>Tabel32[[#This Row],[BRUTOKASUM MÜÜGILT (e)]]-(Tabel32[[#This Row],[BRUTOKASUM MÜÜGILT (e)]]*22%)</calculatedColumnFormula>
    </tableColumn>
  </tableColumns>
  <tableStyleInfo name="TableStyleMedium2" showFirstColumn="0" showLastColumn="0" showRowStripes="1" showColumnStripes="1"/>
</table>
</file>

<file path=xl/theme/theme1.xml><?xml version="1.0" encoding="utf-8"?>
<a:theme xmlns:a="http://schemas.openxmlformats.org/drawingml/2006/main" name="Office'i kujundus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D2884-C058-4275-A818-56D50D20E5BC}">
  <dimension ref="A1:GR80"/>
  <sheetViews>
    <sheetView tabSelected="1" topLeftCell="A49" workbookViewId="0">
      <selection activeCell="C70" sqref="C70"/>
    </sheetView>
  </sheetViews>
  <sheetFormatPr defaultRowHeight="14.4" x14ac:dyDescent="0.3"/>
  <cols>
    <col min="1" max="1" width="28.44140625" bestFit="1" customWidth="1"/>
    <col min="2" max="7" width="22.5546875" customWidth="1"/>
    <col min="8" max="8" width="23.33203125" bestFit="1" customWidth="1"/>
    <col min="9" max="13" width="22.5546875" customWidth="1"/>
    <col min="14" max="18" width="9.6640625" style="1" customWidth="1"/>
  </cols>
  <sheetData>
    <row r="1" spans="1:18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/>
      <c r="O1"/>
      <c r="P1"/>
      <c r="Q1"/>
      <c r="R1"/>
    </row>
    <row r="2" spans="1:18" x14ac:dyDescent="0.3">
      <c r="A2" s="4">
        <v>561</v>
      </c>
      <c r="B2" s="4" t="s">
        <v>13</v>
      </c>
      <c r="C2" s="4" t="s">
        <v>14</v>
      </c>
      <c r="D2" s="4" t="s">
        <v>57</v>
      </c>
      <c r="E2" s="4">
        <v>12</v>
      </c>
      <c r="F2" s="6">
        <v>2701</v>
      </c>
      <c r="G2" s="4">
        <v>56</v>
      </c>
      <c r="H2" s="5">
        <v>56</v>
      </c>
      <c r="I2" s="7">
        <f>Tabel3[[#This Row],[PALK(BRUTO)]]*0.75</f>
        <v>2025.75</v>
      </c>
      <c r="J2" s="7">
        <f>Tabel3[[#This Row],[PALK(BRUTO)]]/160</f>
        <v>16.881250000000001</v>
      </c>
      <c r="K2" s="5" t="str">
        <f t="shared" ref="K2:K24" si="0">IF(G2&gt;=20,"JAH","EI")</f>
        <v>JAH</v>
      </c>
      <c r="L2" s="7">
        <f>Tabel3[[#This Row],[PALK(BRUTO)]]*20%</f>
        <v>540.20000000000005</v>
      </c>
      <c r="M2" s="7">
        <f t="shared" ref="M2:M24" si="1">H2+(F2*0.75)</f>
        <v>2081.75</v>
      </c>
      <c r="N2"/>
      <c r="O2"/>
      <c r="P2"/>
      <c r="Q2"/>
      <c r="R2"/>
    </row>
    <row r="3" spans="1:18" x14ac:dyDescent="0.3">
      <c r="A3" s="4">
        <v>821</v>
      </c>
      <c r="B3" s="4" t="s">
        <v>16</v>
      </c>
      <c r="C3" s="4" t="s">
        <v>15</v>
      </c>
      <c r="D3" s="4" t="s">
        <v>58</v>
      </c>
      <c r="E3" s="4">
        <v>3</v>
      </c>
      <c r="F3" s="6">
        <v>2420</v>
      </c>
      <c r="G3" s="4">
        <v>38</v>
      </c>
      <c r="H3" s="5">
        <v>38</v>
      </c>
      <c r="I3" s="7">
        <f>Tabel3[[#This Row],[PALK(BRUTO)]]*0.75</f>
        <v>1815</v>
      </c>
      <c r="J3" s="7">
        <f>Tabel3[[#This Row],[PALK(BRUTO)]]/160</f>
        <v>15.125</v>
      </c>
      <c r="K3" s="5" t="str">
        <f t="shared" si="0"/>
        <v>JAH</v>
      </c>
      <c r="L3" s="7">
        <f>Tabel3[[#This Row],[PALK(BRUTO)]]*20%</f>
        <v>484</v>
      </c>
      <c r="M3" s="7">
        <f t="shared" si="1"/>
        <v>1853</v>
      </c>
      <c r="N3"/>
      <c r="O3"/>
      <c r="P3"/>
      <c r="Q3"/>
      <c r="R3"/>
    </row>
    <row r="4" spans="1:18" x14ac:dyDescent="0.3">
      <c r="A4" s="4">
        <v>344</v>
      </c>
      <c r="B4" s="4" t="s">
        <v>17</v>
      </c>
      <c r="C4" s="4" t="s">
        <v>18</v>
      </c>
      <c r="D4" s="4" t="s">
        <v>58</v>
      </c>
      <c r="E4" s="4">
        <v>3</v>
      </c>
      <c r="F4" s="6">
        <v>2777</v>
      </c>
      <c r="G4" s="4">
        <v>46</v>
      </c>
      <c r="H4" s="5">
        <v>46</v>
      </c>
      <c r="I4" s="7">
        <f>Tabel3[[#This Row],[PALK(BRUTO)]]*0.75</f>
        <v>2082.75</v>
      </c>
      <c r="J4" s="7">
        <f>Tabel3[[#This Row],[PALK(BRUTO)]]/160</f>
        <v>17.356249999999999</v>
      </c>
      <c r="K4" s="5" t="str">
        <f t="shared" si="0"/>
        <v>JAH</v>
      </c>
      <c r="L4" s="7">
        <f>Tabel3[[#This Row],[PALK(BRUTO)]]*20%</f>
        <v>555.4</v>
      </c>
      <c r="M4" s="7">
        <f t="shared" si="1"/>
        <v>2128.75</v>
      </c>
      <c r="N4"/>
      <c r="O4"/>
      <c r="P4"/>
      <c r="Q4"/>
      <c r="R4"/>
    </row>
    <row r="5" spans="1:18" x14ac:dyDescent="0.3">
      <c r="A5" s="4">
        <v>299</v>
      </c>
      <c r="B5" s="4" t="s">
        <v>19</v>
      </c>
      <c r="C5" s="4" t="s">
        <v>20</v>
      </c>
      <c r="D5" s="4" t="s">
        <v>58</v>
      </c>
      <c r="E5" s="4">
        <v>3</v>
      </c>
      <c r="F5" s="6">
        <v>3078</v>
      </c>
      <c r="G5" s="4">
        <v>0</v>
      </c>
      <c r="H5" s="5">
        <v>0</v>
      </c>
      <c r="I5" s="7">
        <f>Tabel3[[#This Row],[PALK(BRUTO)]]*0.75</f>
        <v>2308.5</v>
      </c>
      <c r="J5" s="7">
        <f>Tabel3[[#This Row],[PALK(BRUTO)]]/160</f>
        <v>19.237500000000001</v>
      </c>
      <c r="K5" s="5" t="str">
        <f t="shared" si="0"/>
        <v>EI</v>
      </c>
      <c r="L5" s="7">
        <f>Tabel3[[#This Row],[PALK(BRUTO)]]*20%</f>
        <v>615.6</v>
      </c>
      <c r="M5" s="7">
        <f t="shared" si="1"/>
        <v>2308.5</v>
      </c>
      <c r="N5"/>
      <c r="O5"/>
      <c r="P5"/>
      <c r="Q5"/>
      <c r="R5"/>
    </row>
    <row r="6" spans="1:18" x14ac:dyDescent="0.3">
      <c r="A6" s="4">
        <v>225</v>
      </c>
      <c r="B6" s="4" t="s">
        <v>21</v>
      </c>
      <c r="C6" s="4" t="s">
        <v>22</v>
      </c>
      <c r="D6" s="4" t="s">
        <v>59</v>
      </c>
      <c r="E6" s="4">
        <v>23</v>
      </c>
      <c r="F6" s="6">
        <v>3194</v>
      </c>
      <c r="G6" s="4">
        <v>22</v>
      </c>
      <c r="H6" s="5">
        <v>22</v>
      </c>
      <c r="I6" s="7">
        <f>Tabel3[[#This Row],[PALK(BRUTO)]]*0.75</f>
        <v>2395.5</v>
      </c>
      <c r="J6" s="7">
        <f>Tabel3[[#This Row],[PALK(BRUTO)]]/160</f>
        <v>19.962499999999999</v>
      </c>
      <c r="K6" s="5" t="str">
        <f t="shared" si="0"/>
        <v>JAH</v>
      </c>
      <c r="L6" s="7">
        <f>Tabel3[[#This Row],[PALK(BRUTO)]]*20%</f>
        <v>638.80000000000007</v>
      </c>
      <c r="M6" s="7">
        <f t="shared" si="1"/>
        <v>2417.5</v>
      </c>
      <c r="N6"/>
      <c r="O6"/>
      <c r="P6"/>
      <c r="Q6"/>
      <c r="R6"/>
    </row>
    <row r="7" spans="1:18" x14ac:dyDescent="0.3">
      <c r="A7" s="4">
        <v>361</v>
      </c>
      <c r="B7" s="4" t="s">
        <v>23</v>
      </c>
      <c r="C7" s="4" t="s">
        <v>24</v>
      </c>
      <c r="D7" s="4" t="s">
        <v>59</v>
      </c>
      <c r="E7" s="4">
        <v>24</v>
      </c>
      <c r="F7" s="6">
        <v>2565</v>
      </c>
      <c r="G7" s="4">
        <v>64</v>
      </c>
      <c r="H7" s="5">
        <v>64</v>
      </c>
      <c r="I7" s="7">
        <f>Tabel3[[#This Row],[PALK(BRUTO)]]*0.75</f>
        <v>1923.75</v>
      </c>
      <c r="J7" s="7">
        <f>Tabel3[[#This Row],[PALK(BRUTO)]]/160</f>
        <v>16.03125</v>
      </c>
      <c r="K7" s="5" t="str">
        <f t="shared" si="0"/>
        <v>JAH</v>
      </c>
      <c r="L7" s="7">
        <f>Tabel3[[#This Row],[PALK(BRUTO)]]*20%</f>
        <v>513</v>
      </c>
      <c r="M7" s="7">
        <f t="shared" si="1"/>
        <v>1987.75</v>
      </c>
      <c r="N7"/>
      <c r="O7"/>
      <c r="P7"/>
      <c r="Q7"/>
      <c r="R7"/>
    </row>
    <row r="8" spans="1:18" x14ac:dyDescent="0.3">
      <c r="A8" s="4">
        <v>515</v>
      </c>
      <c r="B8" s="4" t="s">
        <v>25</v>
      </c>
      <c r="C8" s="4" t="s">
        <v>26</v>
      </c>
      <c r="D8" s="4" t="s">
        <v>60</v>
      </c>
      <c r="E8" s="4">
        <v>4</v>
      </c>
      <c r="F8" s="6">
        <v>3041</v>
      </c>
      <c r="G8" s="4">
        <v>0</v>
      </c>
      <c r="H8" s="5">
        <v>0</v>
      </c>
      <c r="I8" s="7">
        <f>Tabel3[[#This Row],[PALK(BRUTO)]]*0.75</f>
        <v>2280.75</v>
      </c>
      <c r="J8" s="7">
        <f>Tabel3[[#This Row],[PALK(BRUTO)]]/160</f>
        <v>19.006250000000001</v>
      </c>
      <c r="K8" s="5" t="str">
        <f t="shared" si="0"/>
        <v>EI</v>
      </c>
      <c r="L8" s="7">
        <f>Tabel3[[#This Row],[PALK(BRUTO)]]*20%</f>
        <v>608.20000000000005</v>
      </c>
      <c r="M8" s="7">
        <f t="shared" si="1"/>
        <v>2280.75</v>
      </c>
      <c r="N8"/>
      <c r="O8"/>
      <c r="P8"/>
      <c r="Q8"/>
      <c r="R8"/>
    </row>
    <row r="9" spans="1:18" x14ac:dyDescent="0.3">
      <c r="A9" s="4">
        <v>248</v>
      </c>
      <c r="B9" s="4" t="s">
        <v>27</v>
      </c>
      <c r="C9" s="4" t="s">
        <v>26</v>
      </c>
      <c r="D9" s="4" t="s">
        <v>61</v>
      </c>
      <c r="E9" s="4">
        <v>16</v>
      </c>
      <c r="F9" s="6">
        <v>3165</v>
      </c>
      <c r="G9" s="4">
        <v>32</v>
      </c>
      <c r="H9" s="5">
        <v>32</v>
      </c>
      <c r="I9" s="7">
        <f>Tabel3[[#This Row],[PALK(BRUTO)]]*0.75</f>
        <v>2373.75</v>
      </c>
      <c r="J9" s="7">
        <f>Tabel3[[#This Row],[PALK(BRUTO)]]/160</f>
        <v>19.78125</v>
      </c>
      <c r="K9" s="5" t="str">
        <f t="shared" si="0"/>
        <v>JAH</v>
      </c>
      <c r="L9" s="7">
        <f>Tabel3[[#This Row],[PALK(BRUTO)]]*20%</f>
        <v>633</v>
      </c>
      <c r="M9" s="7">
        <f t="shared" si="1"/>
        <v>2405.75</v>
      </c>
      <c r="N9"/>
      <c r="O9"/>
      <c r="P9"/>
      <c r="Q9"/>
      <c r="R9"/>
    </row>
    <row r="10" spans="1:18" x14ac:dyDescent="0.3">
      <c r="A10" s="4">
        <v>384</v>
      </c>
      <c r="B10" s="4" t="s">
        <v>28</v>
      </c>
      <c r="C10" s="4" t="s">
        <v>29</v>
      </c>
      <c r="D10" s="4" t="s">
        <v>61</v>
      </c>
      <c r="E10" s="4">
        <v>13</v>
      </c>
      <c r="F10" s="6">
        <v>2151</v>
      </c>
      <c r="G10" s="4">
        <v>45</v>
      </c>
      <c r="H10" s="5">
        <v>45</v>
      </c>
      <c r="I10" s="7">
        <f>Tabel3[[#This Row],[PALK(BRUTO)]]*0.75</f>
        <v>1613.25</v>
      </c>
      <c r="J10" s="7">
        <f>Tabel3[[#This Row],[PALK(BRUTO)]]/160</f>
        <v>13.44375</v>
      </c>
      <c r="K10" s="5" t="str">
        <f t="shared" si="0"/>
        <v>JAH</v>
      </c>
      <c r="L10" s="7">
        <f>Tabel3[[#This Row],[PALK(BRUTO)]]*20%</f>
        <v>430.20000000000005</v>
      </c>
      <c r="M10" s="7">
        <f t="shared" si="1"/>
        <v>1658.25</v>
      </c>
      <c r="N10"/>
      <c r="O10"/>
      <c r="P10"/>
      <c r="Q10"/>
      <c r="R10"/>
    </row>
    <row r="11" spans="1:18" x14ac:dyDescent="0.3">
      <c r="A11" s="4">
        <v>525</v>
      </c>
      <c r="B11" s="4" t="s">
        <v>30</v>
      </c>
      <c r="C11" s="4" t="s">
        <v>31</v>
      </c>
      <c r="D11" s="4" t="s">
        <v>62</v>
      </c>
      <c r="E11" s="4">
        <v>10</v>
      </c>
      <c r="F11" s="6">
        <v>3098</v>
      </c>
      <c r="G11" s="4">
        <v>64</v>
      </c>
      <c r="H11" s="5">
        <v>64</v>
      </c>
      <c r="I11" s="7">
        <f>Tabel3[[#This Row],[PALK(BRUTO)]]*0.75</f>
        <v>2323.5</v>
      </c>
      <c r="J11" s="7">
        <f>Tabel3[[#This Row],[PALK(BRUTO)]]/160</f>
        <v>19.362500000000001</v>
      </c>
      <c r="K11" s="5" t="str">
        <f t="shared" si="0"/>
        <v>JAH</v>
      </c>
      <c r="L11" s="7">
        <f>Tabel3[[#This Row],[PALK(BRUTO)]]*20%</f>
        <v>619.6</v>
      </c>
      <c r="M11" s="7">
        <f t="shared" si="1"/>
        <v>2387.5</v>
      </c>
      <c r="N11"/>
      <c r="O11"/>
      <c r="P11"/>
      <c r="Q11"/>
      <c r="R11"/>
    </row>
    <row r="12" spans="1:18" x14ac:dyDescent="0.3">
      <c r="A12" s="4">
        <v>329</v>
      </c>
      <c r="B12" s="4" t="s">
        <v>32</v>
      </c>
      <c r="C12" s="4" t="s">
        <v>33</v>
      </c>
      <c r="D12" s="4" t="s">
        <v>62</v>
      </c>
      <c r="E12" s="4">
        <v>16</v>
      </c>
      <c r="F12" s="6">
        <v>2166</v>
      </c>
      <c r="G12" s="4">
        <v>27</v>
      </c>
      <c r="H12" s="5">
        <v>27</v>
      </c>
      <c r="I12" s="7">
        <f>Tabel3[[#This Row],[PALK(BRUTO)]]*0.75</f>
        <v>1624.5</v>
      </c>
      <c r="J12" s="7">
        <f>Tabel3[[#This Row],[PALK(BRUTO)]]/160</f>
        <v>13.5375</v>
      </c>
      <c r="K12" s="5" t="str">
        <f t="shared" si="0"/>
        <v>JAH</v>
      </c>
      <c r="L12" s="7">
        <f>Tabel3[[#This Row],[PALK(BRUTO)]]*20%</f>
        <v>433.20000000000005</v>
      </c>
      <c r="M12" s="7">
        <f t="shared" si="1"/>
        <v>1651.5</v>
      </c>
      <c r="N12"/>
      <c r="O12"/>
      <c r="P12"/>
      <c r="Q12"/>
      <c r="R12"/>
    </row>
    <row r="13" spans="1:18" x14ac:dyDescent="0.3">
      <c r="A13" s="4">
        <v>274</v>
      </c>
      <c r="B13" s="4" t="s">
        <v>37</v>
      </c>
      <c r="C13" s="4" t="s">
        <v>34</v>
      </c>
      <c r="D13" s="4" t="s">
        <v>62</v>
      </c>
      <c r="E13" s="4">
        <v>9</v>
      </c>
      <c r="F13" s="6">
        <v>2244</v>
      </c>
      <c r="G13" s="4">
        <v>44</v>
      </c>
      <c r="H13" s="5">
        <v>44</v>
      </c>
      <c r="I13" s="7">
        <f>Tabel3[[#This Row],[PALK(BRUTO)]]*0.75</f>
        <v>1683</v>
      </c>
      <c r="J13" s="7">
        <f>Tabel3[[#This Row],[PALK(BRUTO)]]/160</f>
        <v>14.025</v>
      </c>
      <c r="K13" s="5" t="str">
        <f t="shared" si="0"/>
        <v>JAH</v>
      </c>
      <c r="L13" s="7">
        <f>Tabel3[[#This Row],[PALK(BRUTO)]]*20%</f>
        <v>448.8</v>
      </c>
      <c r="M13" s="7">
        <f t="shared" si="1"/>
        <v>1727</v>
      </c>
      <c r="N13"/>
      <c r="O13"/>
      <c r="P13"/>
      <c r="Q13"/>
      <c r="R13"/>
    </row>
    <row r="14" spans="1:18" x14ac:dyDescent="0.3">
      <c r="A14" s="4">
        <v>407</v>
      </c>
      <c r="B14" s="4" t="s">
        <v>35</v>
      </c>
      <c r="C14" s="4" t="s">
        <v>36</v>
      </c>
      <c r="D14" s="4" t="s">
        <v>63</v>
      </c>
      <c r="E14" s="4">
        <v>22</v>
      </c>
      <c r="F14" s="6">
        <v>3465</v>
      </c>
      <c r="G14" s="4">
        <v>0</v>
      </c>
      <c r="H14" s="5">
        <v>0</v>
      </c>
      <c r="I14" s="7">
        <f>Tabel3[[#This Row],[PALK(BRUTO)]]*0.75</f>
        <v>2598.75</v>
      </c>
      <c r="J14" s="7">
        <f>Tabel3[[#This Row],[PALK(BRUTO)]]/160</f>
        <v>21.65625</v>
      </c>
      <c r="K14" s="5" t="str">
        <f t="shared" si="0"/>
        <v>EI</v>
      </c>
      <c r="L14" s="7">
        <f>Tabel3[[#This Row],[PALK(BRUTO)]]*20%</f>
        <v>693</v>
      </c>
      <c r="M14" s="7">
        <f t="shared" si="1"/>
        <v>2598.75</v>
      </c>
      <c r="N14"/>
      <c r="O14"/>
      <c r="P14"/>
      <c r="Q14"/>
      <c r="R14"/>
    </row>
    <row r="15" spans="1:18" x14ac:dyDescent="0.3">
      <c r="A15" s="4">
        <v>154</v>
      </c>
      <c r="B15" s="4" t="s">
        <v>38</v>
      </c>
      <c r="C15" s="4" t="s">
        <v>39</v>
      </c>
      <c r="D15" s="4" t="s">
        <v>63</v>
      </c>
      <c r="E15" s="4">
        <v>10</v>
      </c>
      <c r="F15" s="6">
        <v>3277</v>
      </c>
      <c r="G15" s="4">
        <v>62</v>
      </c>
      <c r="H15" s="5">
        <v>62</v>
      </c>
      <c r="I15" s="7">
        <f>Tabel3[[#This Row],[PALK(BRUTO)]]*0.75</f>
        <v>2457.75</v>
      </c>
      <c r="J15" s="7">
        <f>Tabel3[[#This Row],[PALK(BRUTO)]]/160</f>
        <v>20.481249999999999</v>
      </c>
      <c r="K15" s="5" t="str">
        <f t="shared" si="0"/>
        <v>JAH</v>
      </c>
      <c r="L15" s="7">
        <f>Tabel3[[#This Row],[PALK(BRUTO)]]*20%</f>
        <v>655.40000000000009</v>
      </c>
      <c r="M15" s="7">
        <f t="shared" si="1"/>
        <v>2519.75</v>
      </c>
      <c r="N15"/>
      <c r="O15"/>
      <c r="P15"/>
      <c r="Q15"/>
      <c r="R15"/>
    </row>
    <row r="16" spans="1:18" x14ac:dyDescent="0.3">
      <c r="A16" s="4">
        <v>937</v>
      </c>
      <c r="B16" s="4" t="s">
        <v>40</v>
      </c>
      <c r="C16" s="4" t="s">
        <v>41</v>
      </c>
      <c r="D16" s="4" t="s">
        <v>63</v>
      </c>
      <c r="E16" s="4">
        <v>17</v>
      </c>
      <c r="F16" s="6">
        <v>3161</v>
      </c>
      <c r="G16" s="4">
        <v>44</v>
      </c>
      <c r="H16" s="5">
        <v>44</v>
      </c>
      <c r="I16" s="7">
        <f>Tabel3[[#This Row],[PALK(BRUTO)]]*0.75</f>
        <v>2370.75</v>
      </c>
      <c r="J16" s="7">
        <f>Tabel3[[#This Row],[PALK(BRUTO)]]/160</f>
        <v>19.756250000000001</v>
      </c>
      <c r="K16" s="5" t="str">
        <f t="shared" si="0"/>
        <v>JAH</v>
      </c>
      <c r="L16" s="7">
        <f>Tabel3[[#This Row],[PALK(BRUTO)]]*20%</f>
        <v>632.20000000000005</v>
      </c>
      <c r="M16" s="7">
        <f t="shared" si="1"/>
        <v>2414.75</v>
      </c>
      <c r="N16"/>
      <c r="O16"/>
      <c r="P16"/>
      <c r="Q16"/>
      <c r="R16"/>
    </row>
    <row r="17" spans="1:200" x14ac:dyDescent="0.3">
      <c r="A17" s="4">
        <v>535</v>
      </c>
      <c r="B17" s="4" t="s">
        <v>42</v>
      </c>
      <c r="C17" s="4" t="s">
        <v>43</v>
      </c>
      <c r="D17" s="4" t="s">
        <v>64</v>
      </c>
      <c r="E17" s="4">
        <v>9</v>
      </c>
      <c r="F17" s="6">
        <v>3060</v>
      </c>
      <c r="G17" s="4">
        <v>46</v>
      </c>
      <c r="H17" s="5">
        <v>46</v>
      </c>
      <c r="I17" s="7">
        <f>Tabel3[[#This Row],[PALK(BRUTO)]]*0.75</f>
        <v>2295</v>
      </c>
      <c r="J17" s="7">
        <f>Tabel3[[#This Row],[PALK(BRUTO)]]/160</f>
        <v>19.125</v>
      </c>
      <c r="K17" s="5" t="str">
        <f t="shared" si="0"/>
        <v>JAH</v>
      </c>
      <c r="L17" s="7">
        <f>Tabel3[[#This Row],[PALK(BRUTO)]]*20%</f>
        <v>612</v>
      </c>
      <c r="M17" s="7">
        <f t="shared" si="1"/>
        <v>2341</v>
      </c>
      <c r="N17"/>
      <c r="O17"/>
      <c r="P17"/>
      <c r="Q17"/>
      <c r="R17"/>
    </row>
    <row r="18" spans="1:200" x14ac:dyDescent="0.3">
      <c r="A18" s="4">
        <v>640</v>
      </c>
      <c r="B18" s="4" t="s">
        <v>44</v>
      </c>
      <c r="C18" s="4" t="s">
        <v>45</v>
      </c>
      <c r="D18" s="4" t="s">
        <v>64</v>
      </c>
      <c r="E18" s="4">
        <v>13</v>
      </c>
      <c r="F18" s="6">
        <v>3157</v>
      </c>
      <c r="G18" s="4">
        <v>9</v>
      </c>
      <c r="H18" s="5">
        <v>9</v>
      </c>
      <c r="I18" s="7">
        <f>Tabel3[[#This Row],[PALK(BRUTO)]]*0.75</f>
        <v>2367.75</v>
      </c>
      <c r="J18" s="7">
        <f>Tabel3[[#This Row],[PALK(BRUTO)]]/160</f>
        <v>19.731249999999999</v>
      </c>
      <c r="K18" s="5" t="str">
        <f t="shared" si="0"/>
        <v>EI</v>
      </c>
      <c r="L18" s="7">
        <f>Tabel3[[#This Row],[PALK(BRUTO)]]*20%</f>
        <v>631.40000000000009</v>
      </c>
      <c r="M18" s="7">
        <f t="shared" si="1"/>
        <v>2376.75</v>
      </c>
      <c r="N18"/>
      <c r="O18"/>
      <c r="P18"/>
      <c r="Q18"/>
      <c r="R18"/>
    </row>
    <row r="19" spans="1:200" x14ac:dyDescent="0.3">
      <c r="A19" s="4">
        <v>917</v>
      </c>
      <c r="B19" s="4" t="s">
        <v>46</v>
      </c>
      <c r="C19" s="4" t="s">
        <v>47</v>
      </c>
      <c r="D19" s="4" t="s">
        <v>65</v>
      </c>
      <c r="E19" s="4">
        <v>19</v>
      </c>
      <c r="F19" s="6">
        <v>2364</v>
      </c>
      <c r="G19" s="4">
        <v>35</v>
      </c>
      <c r="H19" s="5">
        <v>35</v>
      </c>
      <c r="I19" s="7">
        <f>Tabel3[[#This Row],[PALK(BRUTO)]]*0.75</f>
        <v>1773</v>
      </c>
      <c r="J19" s="7">
        <f>Tabel3[[#This Row],[PALK(BRUTO)]]/160</f>
        <v>14.775</v>
      </c>
      <c r="K19" s="5" t="str">
        <f t="shared" si="0"/>
        <v>JAH</v>
      </c>
      <c r="L19" s="7">
        <f>Tabel3[[#This Row],[PALK(BRUTO)]]*20%</f>
        <v>472.8</v>
      </c>
      <c r="M19" s="7">
        <f t="shared" si="1"/>
        <v>1808</v>
      </c>
      <c r="N19"/>
      <c r="O19"/>
      <c r="P19"/>
      <c r="Q19"/>
      <c r="R19"/>
    </row>
    <row r="20" spans="1:200" x14ac:dyDescent="0.3">
      <c r="A20" s="4">
        <v>760</v>
      </c>
      <c r="B20" s="4" t="s">
        <v>38</v>
      </c>
      <c r="C20" s="4" t="s">
        <v>56</v>
      </c>
      <c r="D20" s="4" t="s">
        <v>65</v>
      </c>
      <c r="E20" s="4">
        <v>20</v>
      </c>
      <c r="F20" s="6">
        <v>2884</v>
      </c>
      <c r="G20" s="4">
        <v>69</v>
      </c>
      <c r="H20" s="5">
        <v>69</v>
      </c>
      <c r="I20" s="7">
        <f>Tabel3[[#This Row],[PALK(BRUTO)]]*0.75</f>
        <v>2163</v>
      </c>
      <c r="J20" s="7">
        <f>Tabel3[[#This Row],[PALK(BRUTO)]]/160</f>
        <v>18.024999999999999</v>
      </c>
      <c r="K20" s="5" t="str">
        <f t="shared" si="0"/>
        <v>JAH</v>
      </c>
      <c r="L20" s="7">
        <f>Tabel3[[#This Row],[PALK(BRUTO)]]*20%</f>
        <v>576.80000000000007</v>
      </c>
      <c r="M20" s="7">
        <f t="shared" si="1"/>
        <v>2232</v>
      </c>
      <c r="N20"/>
      <c r="O20"/>
      <c r="P20"/>
      <c r="Q20"/>
      <c r="R20"/>
    </row>
    <row r="21" spans="1:200" x14ac:dyDescent="0.3">
      <c r="A21" s="4">
        <v>523</v>
      </c>
      <c r="B21" s="4" t="s">
        <v>48</v>
      </c>
      <c r="C21" s="4" t="s">
        <v>49</v>
      </c>
      <c r="D21" s="4" t="s">
        <v>65</v>
      </c>
      <c r="E21" s="4">
        <v>24</v>
      </c>
      <c r="F21" s="6">
        <v>2949</v>
      </c>
      <c r="G21" s="4">
        <v>53</v>
      </c>
      <c r="H21" s="5">
        <v>53</v>
      </c>
      <c r="I21" s="7">
        <f>Tabel3[[#This Row],[PALK(BRUTO)]]*0.75</f>
        <v>2211.75</v>
      </c>
      <c r="J21" s="7">
        <f>Tabel3[[#This Row],[PALK(BRUTO)]]/160</f>
        <v>18.431249999999999</v>
      </c>
      <c r="K21" s="5" t="str">
        <f t="shared" si="0"/>
        <v>JAH</v>
      </c>
      <c r="L21" s="7">
        <f>Tabel3[[#This Row],[PALK(BRUTO)]]*20%</f>
        <v>589.80000000000007</v>
      </c>
      <c r="M21" s="7">
        <f t="shared" si="1"/>
        <v>2264.75</v>
      </c>
      <c r="N21"/>
      <c r="O21"/>
      <c r="P21"/>
      <c r="Q21"/>
      <c r="R21"/>
      <c r="GR21" t="s">
        <v>107</v>
      </c>
    </row>
    <row r="22" spans="1:200" x14ac:dyDescent="0.3">
      <c r="A22" s="4">
        <v>548</v>
      </c>
      <c r="B22" s="4" t="s">
        <v>50</v>
      </c>
      <c r="C22" s="4" t="s">
        <v>51</v>
      </c>
      <c r="D22" s="4" t="s">
        <v>66</v>
      </c>
      <c r="E22" s="4">
        <v>1</v>
      </c>
      <c r="F22" s="6">
        <v>2513</v>
      </c>
      <c r="G22" s="4">
        <v>46</v>
      </c>
      <c r="H22" s="5">
        <v>46</v>
      </c>
      <c r="I22" s="7">
        <f>Tabel3[[#This Row],[PALK(BRUTO)]]*0.75</f>
        <v>1884.75</v>
      </c>
      <c r="J22" s="7">
        <f>Tabel3[[#This Row],[PALK(BRUTO)]]/160</f>
        <v>15.706250000000001</v>
      </c>
      <c r="K22" s="5" t="str">
        <f t="shared" si="0"/>
        <v>JAH</v>
      </c>
      <c r="L22" s="7">
        <f>Tabel3[[#This Row],[PALK(BRUTO)]]*20%</f>
        <v>502.6</v>
      </c>
      <c r="M22" s="7">
        <f t="shared" si="1"/>
        <v>1930.75</v>
      </c>
      <c r="N22"/>
      <c r="O22"/>
      <c r="P22"/>
      <c r="Q22"/>
      <c r="R22"/>
    </row>
    <row r="23" spans="1:200" x14ac:dyDescent="0.3">
      <c r="A23" s="4">
        <v>245</v>
      </c>
      <c r="B23" s="4" t="s">
        <v>52</v>
      </c>
      <c r="C23" s="4" t="s">
        <v>53</v>
      </c>
      <c r="D23" s="4" t="s">
        <v>66</v>
      </c>
      <c r="E23" s="4">
        <v>17</v>
      </c>
      <c r="F23" s="6">
        <v>2914</v>
      </c>
      <c r="G23" s="4">
        <v>0</v>
      </c>
      <c r="H23" s="5">
        <v>0</v>
      </c>
      <c r="I23" s="7">
        <f>Tabel3[[#This Row],[PALK(BRUTO)]]*0.75</f>
        <v>2185.5</v>
      </c>
      <c r="J23" s="7">
        <f>Tabel3[[#This Row],[PALK(BRUTO)]]/160</f>
        <v>18.212499999999999</v>
      </c>
      <c r="K23" s="5" t="str">
        <f t="shared" si="0"/>
        <v>EI</v>
      </c>
      <c r="L23" s="7">
        <f>Tabel3[[#This Row],[PALK(BRUTO)]]*20%</f>
        <v>582.80000000000007</v>
      </c>
      <c r="M23" s="7">
        <f t="shared" si="1"/>
        <v>2185.5</v>
      </c>
      <c r="N23"/>
      <c r="O23"/>
      <c r="P23"/>
      <c r="Q23"/>
      <c r="R23"/>
    </row>
    <row r="24" spans="1:200" x14ac:dyDescent="0.3">
      <c r="A24" s="4">
        <v>101</v>
      </c>
      <c r="B24" s="4" t="s">
        <v>54</v>
      </c>
      <c r="C24" s="8" t="s">
        <v>55</v>
      </c>
      <c r="D24" s="4" t="s">
        <v>66</v>
      </c>
      <c r="E24" s="4">
        <v>11</v>
      </c>
      <c r="F24" s="6">
        <v>3401</v>
      </c>
      <c r="G24" s="4">
        <v>6</v>
      </c>
      <c r="H24" s="5">
        <v>6</v>
      </c>
      <c r="I24" s="7">
        <f>Tabel3[[#This Row],[PALK(BRUTO)]]*0.75</f>
        <v>2550.75</v>
      </c>
      <c r="J24" s="7">
        <f>Tabel3[[#This Row],[PALK(BRUTO)]]/160</f>
        <v>21.256250000000001</v>
      </c>
      <c r="K24" s="5" t="str">
        <f t="shared" si="0"/>
        <v>EI</v>
      </c>
      <c r="L24" s="7">
        <f>Tabel3[[#This Row],[PALK(BRUTO)]]*20%</f>
        <v>680.2</v>
      </c>
      <c r="M24" s="7">
        <f t="shared" si="1"/>
        <v>2556.75</v>
      </c>
      <c r="N24"/>
      <c r="O24"/>
      <c r="P24"/>
      <c r="Q24"/>
      <c r="R24"/>
    </row>
    <row r="26" spans="1:200" x14ac:dyDescent="0.3">
      <c r="A26" s="9" t="s">
        <v>67</v>
      </c>
      <c r="C26" s="10">
        <f>SUM(Tabel3[PALK(BRUTO)])</f>
        <v>65745</v>
      </c>
    </row>
    <row r="27" spans="1:200" ht="18" x14ac:dyDescent="0.35">
      <c r="A27" s="9" t="s">
        <v>68</v>
      </c>
      <c r="C27" s="10">
        <f>SUM(Tabel3[PALK(NETTO)])</f>
        <v>49308.75</v>
      </c>
      <c r="E27" s="26" t="s">
        <v>84</v>
      </c>
      <c r="F27" s="27"/>
      <c r="G27" s="28"/>
      <c r="I27" s="9" t="s">
        <v>87</v>
      </c>
      <c r="K27" s="2">
        <f>MAX(Tabel3[PALK(BRUTO)])</f>
        <v>3465</v>
      </c>
      <c r="L27" s="1"/>
      <c r="M27" s="1"/>
      <c r="P27"/>
      <c r="Q27"/>
      <c r="R27"/>
    </row>
    <row r="28" spans="1:200" x14ac:dyDescent="0.3">
      <c r="A28" s="9" t="s">
        <v>69</v>
      </c>
      <c r="C28" s="13">
        <f>AVERAGE(Tabel3[PALK(BRUTO)])</f>
        <v>2858.478260869565</v>
      </c>
      <c r="E28" s="17">
        <v>917</v>
      </c>
      <c r="F28" s="18"/>
      <c r="G28" s="19"/>
      <c r="I28" s="9" t="s">
        <v>88</v>
      </c>
      <c r="K28" s="2">
        <f>MIN(Tabel3[PALK(BRUTO)])</f>
        <v>2151</v>
      </c>
      <c r="L28" s="1"/>
      <c r="M28" s="1"/>
      <c r="P28"/>
      <c r="Q28"/>
      <c r="R28"/>
    </row>
    <row r="29" spans="1:200" x14ac:dyDescent="0.3">
      <c r="A29" s="9" t="s">
        <v>70</v>
      </c>
      <c r="C29" s="12">
        <f>AVERAGE(Tabel3[PALK(NETTO)])</f>
        <v>2143.858695652174</v>
      </c>
      <c r="E29" s="17" t="str">
        <f>VLOOKUP(E28, A1:D24, 2,FALSE) &amp; " " &amp; VLOOKUP(E28, A1:D24, 3,FALSE) &amp; " " &amp; VLOOKUP(E28, A1:D24, 4,FALSE)</f>
        <v>Timofei Koppel Müügiosakond</v>
      </c>
      <c r="F29" s="18"/>
      <c r="G29" s="19"/>
      <c r="I29" s="9" t="s">
        <v>89</v>
      </c>
      <c r="K29" s="2">
        <f>COUNTIF(Tabel3[AMETIKOHT],"arendaja")</f>
        <v>3</v>
      </c>
      <c r="L29" s="1"/>
      <c r="M29" s="1"/>
      <c r="P29"/>
      <c r="Q29"/>
      <c r="R29"/>
    </row>
    <row r="30" spans="1:200" x14ac:dyDescent="0.3">
      <c r="A30" s="9" t="s">
        <v>71</v>
      </c>
      <c r="C30" s="2">
        <f>COUNTIF(Tabel3[PALK(BRUTO)],"&gt;2500")</f>
        <v>18</v>
      </c>
      <c r="I30" s="9" t="s">
        <v>90</v>
      </c>
      <c r="K30" s="2">
        <f>COUNTIF(Tabel3[AMETIKOHT],"filiaali juht")</f>
        <v>1</v>
      </c>
      <c r="L30" s="1"/>
      <c r="M30" s="1"/>
      <c r="P30"/>
      <c r="Q30"/>
      <c r="R30"/>
    </row>
    <row r="31" spans="1:200" ht="18" x14ac:dyDescent="0.35">
      <c r="A31" s="9" t="s">
        <v>72</v>
      </c>
      <c r="C31" s="2">
        <f>SUM(Tabel3[TÖÖSTAAŠ])</f>
        <v>299</v>
      </c>
      <c r="E31" s="26" t="s">
        <v>85</v>
      </c>
      <c r="F31" s="27"/>
      <c r="G31" s="28"/>
      <c r="I31" s="9" t="s">
        <v>91</v>
      </c>
      <c r="K31" s="2">
        <f>COUNTIF(Tabel3[BOONUS(JAH/EI)],"JAH")</f>
        <v>17</v>
      </c>
    </row>
    <row r="32" spans="1:200" x14ac:dyDescent="0.3">
      <c r="A32" s="9" t="s">
        <v>73</v>
      </c>
      <c r="C32" s="2">
        <f>AVERAGE(Tabel3[TÖÖSTAAŠ])</f>
        <v>13</v>
      </c>
      <c r="E32" s="17" t="s">
        <v>48</v>
      </c>
      <c r="F32" s="18"/>
      <c r="G32" s="19"/>
      <c r="I32" s="9" t="s">
        <v>92</v>
      </c>
      <c r="K32" s="2">
        <f>COUNTIF(Tabel3[BOONUS(JAH/EI)],"EI")</f>
        <v>6</v>
      </c>
    </row>
    <row r="33" spans="1:11" x14ac:dyDescent="0.3">
      <c r="A33" s="9" t="s">
        <v>74</v>
      </c>
      <c r="C33" s="2">
        <f>SUM(Tabel3[ÜLETUNNID])</f>
        <v>808</v>
      </c>
      <c r="E33" s="17" t="e">
        <f>VLOOKUP(E32,Tabel3[[ID]:[ÜLETUNNID]],3,FALSE)</f>
        <v>#N/A</v>
      </c>
      <c r="F33" s="18"/>
      <c r="G33" s="19"/>
      <c r="I33" s="9" t="s">
        <v>93</v>
      </c>
      <c r="K33" s="11">
        <f>AVERAGE(Tabel3[BOONUSE SUURUS])</f>
        <v>571.695652173913</v>
      </c>
    </row>
    <row r="34" spans="1:11" x14ac:dyDescent="0.3">
      <c r="A34" s="9" t="s">
        <v>75</v>
      </c>
      <c r="C34" s="2">
        <f>COUNTIF(Tabel3[ÜLETUNNID],"&gt;0")</f>
        <v>19</v>
      </c>
      <c r="I34" s="9" t="s">
        <v>94</v>
      </c>
      <c r="K34" s="10">
        <f>SUM(Tabel3[BOONUSE SUURUS])</f>
        <v>13148.999999999998</v>
      </c>
    </row>
    <row r="35" spans="1:11" ht="18" x14ac:dyDescent="0.35">
      <c r="A35" s="9" t="s">
        <v>76</v>
      </c>
      <c r="C35" s="11">
        <f>AVERAGE(Tabel3[ÜLETUNNID])</f>
        <v>35.130434782608695</v>
      </c>
      <c r="E35" s="23" t="s">
        <v>86</v>
      </c>
      <c r="F35" s="24"/>
      <c r="G35" s="25"/>
      <c r="I35" s="9" t="s">
        <v>95</v>
      </c>
      <c r="K35" s="10">
        <f>SUM(Tabel3[ÜLETUNNITASU])</f>
        <v>50116.75</v>
      </c>
    </row>
    <row r="36" spans="1:11" x14ac:dyDescent="0.3">
      <c r="A36" s="9" t="s">
        <v>77</v>
      </c>
      <c r="C36" s="11">
        <f>AVERAGE(Tabel3[ÜLETUNNITASU])</f>
        <v>2178.9891304347825</v>
      </c>
      <c r="E36" s="17">
        <v>917</v>
      </c>
      <c r="F36" s="18"/>
      <c r="G36" s="19"/>
      <c r="I36" s="9" t="s">
        <v>96</v>
      </c>
      <c r="K36" s="2">
        <f>MAX(Tabel3[TÖÖSTAAŠ])</f>
        <v>24</v>
      </c>
    </row>
    <row r="37" spans="1:11" x14ac:dyDescent="0.3">
      <c r="E37" s="17" t="str">
        <f>VLOOKUP(E36,A2:M24,3,FALSE)&amp;" "&amp;VLOOKUP(E36,A2:M24,7,FALSE)&amp;" "&amp;VLOOKUP(E36,A2:M24,10,FALSE)</f>
        <v>Koppel 35 14,775</v>
      </c>
      <c r="F37" s="18"/>
      <c r="G37" s="19"/>
      <c r="I37" s="9" t="s">
        <v>97</v>
      </c>
      <c r="K37" s="2">
        <f>MIN(Tabel3[TÖÖSTAAŠ])</f>
        <v>1</v>
      </c>
    </row>
    <row r="40" spans="1:11" x14ac:dyDescent="0.3">
      <c r="A40" t="s">
        <v>78</v>
      </c>
    </row>
    <row r="41" spans="1:11" x14ac:dyDescent="0.3">
      <c r="A41" t="s">
        <v>79</v>
      </c>
    </row>
    <row r="42" spans="1:11" x14ac:dyDescent="0.3">
      <c r="A42" t="s">
        <v>80</v>
      </c>
    </row>
    <row r="43" spans="1:11" x14ac:dyDescent="0.3">
      <c r="A43" t="s">
        <v>81</v>
      </c>
    </row>
    <row r="44" spans="1:11" x14ac:dyDescent="0.3">
      <c r="A44" t="s">
        <v>82</v>
      </c>
    </row>
    <row r="45" spans="1:11" x14ac:dyDescent="0.3">
      <c r="A45" t="s">
        <v>83</v>
      </c>
    </row>
    <row r="51" spans="1:18" x14ac:dyDescent="0.3">
      <c r="A51" s="14" t="s">
        <v>98</v>
      </c>
      <c r="B51" s="3" t="s">
        <v>99</v>
      </c>
      <c r="C51" s="3" t="s">
        <v>100</v>
      </c>
      <c r="D51" s="3" t="s">
        <v>101</v>
      </c>
      <c r="E51" s="3" t="s">
        <v>102</v>
      </c>
      <c r="F51" s="3" t="s">
        <v>103</v>
      </c>
      <c r="G51" s="3" t="s">
        <v>104</v>
      </c>
      <c r="H51" s="3" t="s">
        <v>105</v>
      </c>
      <c r="I51" s="3" t="s">
        <v>106</v>
      </c>
      <c r="J51" s="3" t="s">
        <v>108</v>
      </c>
      <c r="K51" s="3" t="s">
        <v>109</v>
      </c>
      <c r="L51" s="3" t="s">
        <v>110</v>
      </c>
      <c r="M51" s="1"/>
      <c r="R51"/>
    </row>
    <row r="52" spans="1:18" x14ac:dyDescent="0.3">
      <c r="A52" s="4" t="s">
        <v>111</v>
      </c>
      <c r="B52" s="6">
        <v>300</v>
      </c>
      <c r="C52" s="4">
        <v>100</v>
      </c>
      <c r="D52" s="15">
        <v>2</v>
      </c>
      <c r="E52" s="7">
        <f>Tabel32[[#This Row],[SISSEOSTU HIND]]/50%+Tabel32[[#This Row],[SISSEOSTU HIND]]</f>
        <v>900</v>
      </c>
      <c r="F52" s="16">
        <v>95</v>
      </c>
      <c r="G52" s="31">
        <f>SUM(Tabel32[[#This Row],[OSTETUD OBJEKTE (tk)]]-Tabel32[[#This Row],[MÜÜDUD OBJEKTE (tk)]])</f>
        <v>5</v>
      </c>
      <c r="H52" s="32">
        <f>(G52/C52)</f>
        <v>0.05</v>
      </c>
      <c r="I52" s="7" t="str">
        <f t="shared" ref="I52:I64" si="2">IF(H52&lt;10%,"telli juurde",IF(H52&lt;30%,"kriitiline","OK"))</f>
        <v>telli juurde</v>
      </c>
      <c r="J52" s="7">
        <f>Tabel32[[#This Row],[LAOJÄÄKE HETKEL(tk)]]*Tabel32[[#This Row],[Ladustamiskulu objekti kohta (e)]]</f>
        <v>10</v>
      </c>
      <c r="K52" s="7">
        <f>Tabel32[[#This Row],[MÜÜGIHIND]]*Tabel32[[#This Row],[MÜÜDUD OBJEKTE (tk)]]</f>
        <v>85500</v>
      </c>
      <c r="L52" s="7">
        <f>Tabel32[[#This Row],[BRUTOKASUM MÜÜGILT (e)]]-(Tabel32[[#This Row],[BRUTOKASUM MÜÜGILT (e)]]*22%)</f>
        <v>66690</v>
      </c>
      <c r="M52" s="1"/>
      <c r="R52"/>
    </row>
    <row r="53" spans="1:18" x14ac:dyDescent="0.3">
      <c r="A53" s="4" t="s">
        <v>112</v>
      </c>
      <c r="B53" s="6">
        <v>290</v>
      </c>
      <c r="C53" s="4">
        <v>100</v>
      </c>
      <c r="D53" s="15">
        <v>2</v>
      </c>
      <c r="E53" s="7">
        <f>Tabel32[[#This Row],[SISSEOSTU HIND]]/50%+Tabel32[[#This Row],[SISSEOSTU HIND]]</f>
        <v>870</v>
      </c>
      <c r="F53" s="16">
        <v>33</v>
      </c>
      <c r="G53" s="31">
        <f>SUM(Tabel32[[#This Row],[OSTETUD OBJEKTE (tk)]]-Tabel32[[#This Row],[MÜÜDUD OBJEKTE (tk)]])</f>
        <v>67</v>
      </c>
      <c r="H53" s="32">
        <f t="shared" ref="H53:H64" si="3">(G53/C53)</f>
        <v>0.67</v>
      </c>
      <c r="I53" s="7" t="str">
        <f t="shared" si="2"/>
        <v>OK</v>
      </c>
      <c r="J53" s="7">
        <f>Tabel32[[#This Row],[LAOJÄÄKE HETKEL(tk)]]*Tabel32[[#This Row],[Ladustamiskulu objekti kohta (e)]]</f>
        <v>134</v>
      </c>
      <c r="K53" s="7">
        <f>Tabel32[[#This Row],[MÜÜGIHIND]]*Tabel32[[#This Row],[MÜÜDUD OBJEKTE (tk)]]</f>
        <v>28710</v>
      </c>
      <c r="L53" s="7">
        <f>Tabel32[[#This Row],[BRUTOKASUM MÜÜGILT (e)]]-(Tabel32[[#This Row],[BRUTOKASUM MÜÜGILT (e)]]*22%)</f>
        <v>22393.8</v>
      </c>
      <c r="M53" s="1"/>
      <c r="R53"/>
    </row>
    <row r="54" spans="1:18" x14ac:dyDescent="0.3">
      <c r="A54" s="4" t="s">
        <v>113</v>
      </c>
      <c r="B54" s="6">
        <v>400</v>
      </c>
      <c r="C54" s="4">
        <v>90</v>
      </c>
      <c r="D54" s="15">
        <v>5</v>
      </c>
      <c r="E54" s="7">
        <f>Tabel32[[#This Row],[SISSEOSTU HIND]]/50%+Tabel32[[#This Row],[SISSEOSTU HIND]]</f>
        <v>1200</v>
      </c>
      <c r="F54" s="16">
        <v>47</v>
      </c>
      <c r="G54" s="31">
        <f ca="1">SUM(G52:G64)</f>
        <v>0</v>
      </c>
      <c r="H54" s="32">
        <f t="shared" ca="1" si="3"/>
        <v>0.4777777777777778</v>
      </c>
      <c r="I54" s="7" t="str">
        <f t="shared" ca="1" si="2"/>
        <v>OK</v>
      </c>
      <c r="J54" s="7">
        <f ca="1">Tabel32[[#This Row],[LAOJÄÄKE HETKEL(tk)]]*Tabel32[[#This Row],[Ladustamiskulu objekti kohta (e)]]</f>
        <v>215</v>
      </c>
      <c r="K54" s="7">
        <f>Tabel32[[#This Row],[MÜÜGIHIND]]*Tabel32[[#This Row],[MÜÜDUD OBJEKTE (tk)]]</f>
        <v>56400</v>
      </c>
      <c r="L54" s="7">
        <f>Tabel32[[#This Row],[BRUTOKASUM MÜÜGILT (e)]]-(Tabel32[[#This Row],[BRUTOKASUM MÜÜGILT (e)]]*22%)</f>
        <v>43992</v>
      </c>
      <c r="M54" s="1"/>
      <c r="R54"/>
    </row>
    <row r="55" spans="1:18" x14ac:dyDescent="0.3">
      <c r="A55" s="4" t="s">
        <v>114</v>
      </c>
      <c r="B55" s="6">
        <v>600</v>
      </c>
      <c r="C55" s="4">
        <v>74</v>
      </c>
      <c r="D55" s="15">
        <v>10</v>
      </c>
      <c r="E55" s="7">
        <f>Tabel32[[#This Row],[SISSEOSTU HIND]]/50%+Tabel32[[#This Row],[SISSEOSTU HIND]]</f>
        <v>1800</v>
      </c>
      <c r="F55" s="16">
        <v>64</v>
      </c>
      <c r="G55" s="31">
        <f>SUM(Tabel32[[#This Row],[OSTETUD OBJEKTE (tk)]]-Tabel32[[#This Row],[MÜÜDUD OBJEKTE (tk)]])</f>
        <v>10</v>
      </c>
      <c r="H55" s="32">
        <f t="shared" si="3"/>
        <v>0.13513513513513514</v>
      </c>
      <c r="I55" s="7" t="str">
        <f t="shared" si="2"/>
        <v>kriitiline</v>
      </c>
      <c r="J55" s="7">
        <f>Tabel32[[#This Row],[LAOJÄÄKE HETKEL(tk)]]*Tabel32[[#This Row],[Ladustamiskulu objekti kohta (e)]]</f>
        <v>100</v>
      </c>
      <c r="K55" s="7">
        <f>Tabel32[[#This Row],[MÜÜGIHIND]]*Tabel32[[#This Row],[MÜÜDUD OBJEKTE (tk)]]</f>
        <v>115200</v>
      </c>
      <c r="L55" s="7">
        <f>Tabel32[[#This Row],[BRUTOKASUM MÜÜGILT (e)]]-(Tabel32[[#This Row],[BRUTOKASUM MÜÜGILT (e)]]*22%)</f>
        <v>89856</v>
      </c>
      <c r="M55" s="1"/>
      <c r="R55"/>
    </row>
    <row r="56" spans="1:18" x14ac:dyDescent="0.3">
      <c r="A56" s="4" t="s">
        <v>115</v>
      </c>
      <c r="B56" s="6">
        <v>1200</v>
      </c>
      <c r="C56" s="4">
        <v>83</v>
      </c>
      <c r="D56" s="15">
        <v>11</v>
      </c>
      <c r="E56" s="7">
        <f>Tabel32[[#This Row],[SISSEOSTU HIND]]/50%+Tabel32[[#This Row],[SISSEOSTU HIND]]</f>
        <v>3600</v>
      </c>
      <c r="F56" s="16">
        <v>29</v>
      </c>
      <c r="G56" s="31">
        <f>SUM(Tabel32[[#This Row],[OSTETUD OBJEKTE (tk)]]-Tabel32[[#This Row],[MÜÜDUD OBJEKTE (tk)]])</f>
        <v>54</v>
      </c>
      <c r="H56" s="32">
        <f t="shared" si="3"/>
        <v>0.6506024096385542</v>
      </c>
      <c r="I56" s="7" t="str">
        <f t="shared" si="2"/>
        <v>OK</v>
      </c>
      <c r="J56" s="7">
        <f>Tabel32[[#This Row],[LAOJÄÄKE HETKEL(tk)]]*Tabel32[[#This Row],[Ladustamiskulu objekti kohta (e)]]</f>
        <v>594</v>
      </c>
      <c r="K56" s="7">
        <f>Tabel32[[#This Row],[MÜÜGIHIND]]*Tabel32[[#This Row],[MÜÜDUD OBJEKTE (tk)]]</f>
        <v>104400</v>
      </c>
      <c r="L56" s="7">
        <f>Tabel32[[#This Row],[BRUTOKASUM MÜÜGILT (e)]]-(Tabel32[[#This Row],[BRUTOKASUM MÜÜGILT (e)]]*22%)</f>
        <v>81432</v>
      </c>
      <c r="M56" s="1"/>
      <c r="R56"/>
    </row>
    <row r="57" spans="1:18" x14ac:dyDescent="0.3">
      <c r="A57" s="4" t="s">
        <v>116</v>
      </c>
      <c r="B57" s="6">
        <v>300</v>
      </c>
      <c r="C57" s="4">
        <v>35</v>
      </c>
      <c r="D57" s="15">
        <v>2</v>
      </c>
      <c r="E57" s="7">
        <f>Tabel32[[#This Row],[SISSEOSTU HIND]]/50%+Tabel32[[#This Row],[SISSEOSTU HIND]]</f>
        <v>900</v>
      </c>
      <c r="F57" s="16">
        <v>33</v>
      </c>
      <c r="G57" s="31">
        <f>SUM(Tabel32[[#This Row],[OSTETUD OBJEKTE (tk)]]-Tabel32[[#This Row],[MÜÜDUD OBJEKTE (tk)]])</f>
        <v>2</v>
      </c>
      <c r="H57" s="32">
        <f t="shared" si="3"/>
        <v>5.7142857142857141E-2</v>
      </c>
      <c r="I57" s="7" t="str">
        <f t="shared" si="2"/>
        <v>telli juurde</v>
      </c>
      <c r="J57" s="7">
        <f>Tabel32[[#This Row],[LAOJÄÄKE HETKEL(tk)]]*Tabel32[[#This Row],[Ladustamiskulu objekti kohta (e)]]</f>
        <v>4</v>
      </c>
      <c r="K57" s="7">
        <f>Tabel32[[#This Row],[MÜÜGIHIND]]*Tabel32[[#This Row],[MÜÜDUD OBJEKTE (tk)]]</f>
        <v>29700</v>
      </c>
      <c r="L57" s="7">
        <f>Tabel32[[#This Row],[BRUTOKASUM MÜÜGILT (e)]]-(Tabel32[[#This Row],[BRUTOKASUM MÜÜGILT (e)]]*22%)</f>
        <v>23166</v>
      </c>
      <c r="M57" s="1"/>
      <c r="R57"/>
    </row>
    <row r="58" spans="1:18" x14ac:dyDescent="0.3">
      <c r="A58" s="4" t="s">
        <v>117</v>
      </c>
      <c r="B58" s="6">
        <v>150</v>
      </c>
      <c r="C58" s="4">
        <v>23</v>
      </c>
      <c r="D58" s="15">
        <v>2</v>
      </c>
      <c r="E58" s="7">
        <f>Tabel32[[#This Row],[SISSEOSTU HIND]]/50%+Tabel32[[#This Row],[SISSEOSTU HIND]]</f>
        <v>450</v>
      </c>
      <c r="F58" s="16">
        <v>21</v>
      </c>
      <c r="G58" s="31">
        <f>SUM(Tabel32[[#This Row],[OSTETUD OBJEKTE (tk)]]-Tabel32[[#This Row],[MÜÜDUD OBJEKTE (tk)]])</f>
        <v>2</v>
      </c>
      <c r="H58" s="32">
        <f t="shared" si="3"/>
        <v>8.6956521739130432E-2</v>
      </c>
      <c r="I58" s="7" t="str">
        <f t="shared" si="2"/>
        <v>telli juurde</v>
      </c>
      <c r="J58" s="7">
        <f>Tabel32[[#This Row],[LAOJÄÄKE HETKEL(tk)]]*Tabel32[[#This Row],[Ladustamiskulu objekti kohta (e)]]</f>
        <v>4</v>
      </c>
      <c r="K58" s="7">
        <f>Tabel32[[#This Row],[MÜÜGIHIND]]*Tabel32[[#This Row],[MÜÜDUD OBJEKTE (tk)]]</f>
        <v>9450</v>
      </c>
      <c r="L58" s="7">
        <f>Tabel32[[#This Row],[BRUTOKASUM MÜÜGILT (e)]]-(Tabel32[[#This Row],[BRUTOKASUM MÜÜGILT (e)]]*22%)</f>
        <v>7371</v>
      </c>
      <c r="M58" s="1"/>
      <c r="R58"/>
    </row>
    <row r="59" spans="1:18" x14ac:dyDescent="0.3">
      <c r="A59" s="4" t="s">
        <v>118</v>
      </c>
      <c r="B59" s="6">
        <v>300</v>
      </c>
      <c r="C59" s="4">
        <v>86</v>
      </c>
      <c r="D59" s="15">
        <v>2</v>
      </c>
      <c r="E59" s="7">
        <f>Tabel32[[#This Row],[SISSEOSTU HIND]]/50%+Tabel32[[#This Row],[SISSEOSTU HIND]]</f>
        <v>900</v>
      </c>
      <c r="F59" s="16">
        <v>37</v>
      </c>
      <c r="G59" s="31">
        <f>SUM(Tabel32[[#This Row],[OSTETUD OBJEKTE (tk)]]-Tabel32[[#This Row],[MÜÜDUD OBJEKTE (tk)]])</f>
        <v>49</v>
      </c>
      <c r="H59" s="32">
        <f t="shared" si="3"/>
        <v>0.56976744186046513</v>
      </c>
      <c r="I59" s="7" t="str">
        <f t="shared" si="2"/>
        <v>OK</v>
      </c>
      <c r="J59" s="7">
        <f>Tabel32[[#This Row],[LAOJÄÄKE HETKEL(tk)]]*Tabel32[[#This Row],[Ladustamiskulu objekti kohta (e)]]</f>
        <v>98</v>
      </c>
      <c r="K59" s="7">
        <f>Tabel32[[#This Row],[MÜÜGIHIND]]*Tabel32[[#This Row],[MÜÜDUD OBJEKTE (tk)]]</f>
        <v>33300</v>
      </c>
      <c r="L59" s="7">
        <f>Tabel32[[#This Row],[BRUTOKASUM MÜÜGILT (e)]]-(Tabel32[[#This Row],[BRUTOKASUM MÜÜGILT (e)]]*22%)</f>
        <v>25974</v>
      </c>
      <c r="M59" s="1"/>
      <c r="R59"/>
    </row>
    <row r="60" spans="1:18" x14ac:dyDescent="0.3">
      <c r="A60" s="4" t="s">
        <v>119</v>
      </c>
      <c r="B60" s="6">
        <v>200</v>
      </c>
      <c r="C60" s="4">
        <v>35</v>
      </c>
      <c r="D60" s="15">
        <v>4</v>
      </c>
      <c r="E60" s="7">
        <f>Tabel32[[#This Row],[SISSEOSTU HIND]]/50%+Tabel32[[#This Row],[SISSEOSTU HIND]]</f>
        <v>600</v>
      </c>
      <c r="F60" s="16">
        <v>25</v>
      </c>
      <c r="G60" s="31">
        <f>SUM(Tabel32[[#This Row],[OSTETUD OBJEKTE (tk)]]-Tabel32[[#This Row],[MÜÜDUD OBJEKTE (tk)]])</f>
        <v>10</v>
      </c>
      <c r="H60" s="32">
        <f t="shared" si="3"/>
        <v>0.2857142857142857</v>
      </c>
      <c r="I60" s="7" t="str">
        <f t="shared" si="2"/>
        <v>kriitiline</v>
      </c>
      <c r="J60" s="7">
        <f>Tabel32[[#This Row],[LAOJÄÄKE HETKEL(tk)]]*Tabel32[[#This Row],[Ladustamiskulu objekti kohta (e)]]</f>
        <v>40</v>
      </c>
      <c r="K60" s="7">
        <f>Tabel32[[#This Row],[MÜÜGIHIND]]*Tabel32[[#This Row],[MÜÜDUD OBJEKTE (tk)]]</f>
        <v>15000</v>
      </c>
      <c r="L60" s="7">
        <f>Tabel32[[#This Row],[BRUTOKASUM MÜÜGILT (e)]]-(Tabel32[[#This Row],[BRUTOKASUM MÜÜGILT (e)]]*22%)</f>
        <v>11700</v>
      </c>
      <c r="M60" s="1"/>
      <c r="R60"/>
    </row>
    <row r="61" spans="1:18" x14ac:dyDescent="0.3">
      <c r="A61" s="4" t="s">
        <v>120</v>
      </c>
      <c r="B61" s="6">
        <v>400</v>
      </c>
      <c r="C61" s="4">
        <v>78</v>
      </c>
      <c r="D61" s="15">
        <v>4</v>
      </c>
      <c r="E61" s="7">
        <f>Tabel32[[#This Row],[SISSEOSTU HIND]]/50%+Tabel32[[#This Row],[SISSEOSTU HIND]]</f>
        <v>1200</v>
      </c>
      <c r="F61" s="16">
        <v>68</v>
      </c>
      <c r="G61" s="31">
        <f>SUM(Tabel32[[#This Row],[OSTETUD OBJEKTE (tk)]]-Tabel32[[#This Row],[MÜÜDUD OBJEKTE (tk)]])</f>
        <v>10</v>
      </c>
      <c r="H61" s="32">
        <f t="shared" si="3"/>
        <v>0.12820512820512819</v>
      </c>
      <c r="I61" s="7" t="str">
        <f t="shared" si="2"/>
        <v>kriitiline</v>
      </c>
      <c r="J61" s="7">
        <f>Tabel32[[#This Row],[LAOJÄÄKE HETKEL(tk)]]*Tabel32[[#This Row],[Ladustamiskulu objekti kohta (e)]]</f>
        <v>40</v>
      </c>
      <c r="K61" s="7">
        <f>Tabel32[[#This Row],[MÜÜGIHIND]]*Tabel32[[#This Row],[MÜÜDUD OBJEKTE (tk)]]</f>
        <v>81600</v>
      </c>
      <c r="L61" s="7">
        <f>Tabel32[[#This Row],[BRUTOKASUM MÜÜGILT (e)]]-(Tabel32[[#This Row],[BRUTOKASUM MÜÜGILT (e)]]*22%)</f>
        <v>63648</v>
      </c>
      <c r="M61" s="1"/>
      <c r="R61"/>
    </row>
    <row r="62" spans="1:18" x14ac:dyDescent="0.3">
      <c r="A62" s="4" t="s">
        <v>123</v>
      </c>
      <c r="B62" s="6">
        <v>90</v>
      </c>
      <c r="C62" s="4">
        <v>88</v>
      </c>
      <c r="D62" s="15">
        <v>5</v>
      </c>
      <c r="E62" s="7">
        <f>Tabel32[[#This Row],[SISSEOSTU HIND]]/50%+Tabel32[[#This Row],[SISSEOSTU HIND]]</f>
        <v>270</v>
      </c>
      <c r="F62" s="16">
        <v>58</v>
      </c>
      <c r="G62" s="31">
        <f>SUM(Tabel32[[#This Row],[OSTETUD OBJEKTE (tk)]]-Tabel32[[#This Row],[MÜÜDUD OBJEKTE (tk)]])</f>
        <v>30</v>
      </c>
      <c r="H62" s="32">
        <f t="shared" si="3"/>
        <v>0.34090909090909088</v>
      </c>
      <c r="I62" s="7" t="str">
        <f t="shared" si="2"/>
        <v>OK</v>
      </c>
      <c r="J62" s="7">
        <f>Tabel32[[#This Row],[LAOJÄÄKE HETKEL(tk)]]*Tabel32[[#This Row],[Ladustamiskulu objekti kohta (e)]]</f>
        <v>150</v>
      </c>
      <c r="K62" s="7">
        <f>Tabel32[[#This Row],[MÜÜGIHIND]]*Tabel32[[#This Row],[MÜÜDUD OBJEKTE (tk)]]</f>
        <v>15660</v>
      </c>
      <c r="L62" s="7">
        <f>Tabel32[[#This Row],[BRUTOKASUM MÜÜGILT (e)]]-(Tabel32[[#This Row],[BRUTOKASUM MÜÜGILT (e)]]*22%)</f>
        <v>12214.8</v>
      </c>
      <c r="M62" s="1"/>
      <c r="R62"/>
    </row>
    <row r="63" spans="1:18" x14ac:dyDescent="0.3">
      <c r="A63" s="4" t="s">
        <v>121</v>
      </c>
      <c r="B63" s="6">
        <v>70</v>
      </c>
      <c r="C63" s="4">
        <v>150</v>
      </c>
      <c r="D63" s="15">
        <v>8</v>
      </c>
      <c r="E63" s="7">
        <f>Tabel32[[#This Row],[SISSEOSTU HIND]]/50%+Tabel32[[#This Row],[SISSEOSTU HIND]]</f>
        <v>210</v>
      </c>
      <c r="F63" s="16">
        <v>57</v>
      </c>
      <c r="G63" s="31">
        <f>SUM(Tabel32[[#This Row],[OSTETUD OBJEKTE (tk)]]-Tabel32[[#This Row],[MÜÜDUD OBJEKTE (tk)]])</f>
        <v>93</v>
      </c>
      <c r="H63" s="32">
        <f t="shared" si="3"/>
        <v>0.62</v>
      </c>
      <c r="I63" s="7" t="str">
        <f t="shared" si="2"/>
        <v>OK</v>
      </c>
      <c r="J63" s="7">
        <f>Tabel32[[#This Row],[LAOJÄÄKE HETKEL(tk)]]*Tabel32[[#This Row],[Ladustamiskulu objekti kohta (e)]]</f>
        <v>744</v>
      </c>
      <c r="K63" s="7">
        <f>Tabel32[[#This Row],[MÜÜGIHIND]]*Tabel32[[#This Row],[MÜÜDUD OBJEKTE (tk)]]</f>
        <v>11970</v>
      </c>
      <c r="L63" s="7">
        <f>Tabel32[[#This Row],[BRUTOKASUM MÜÜGILT (e)]]-(Tabel32[[#This Row],[BRUTOKASUM MÜÜGILT (e)]]*22%)</f>
        <v>9336.6</v>
      </c>
      <c r="M63" s="1"/>
      <c r="R63"/>
    </row>
    <row r="64" spans="1:18" x14ac:dyDescent="0.3">
      <c r="A64" s="4" t="s">
        <v>122</v>
      </c>
      <c r="B64" s="6">
        <v>65</v>
      </c>
      <c r="C64" s="4">
        <v>170</v>
      </c>
      <c r="D64" s="15">
        <v>8</v>
      </c>
      <c r="E64" s="7">
        <f>Tabel32[[#This Row],[SISSEOSTU HIND]]/50%+Tabel32[[#This Row],[SISSEOSTU HIND]]</f>
        <v>195</v>
      </c>
      <c r="F64" s="16">
        <v>130</v>
      </c>
      <c r="G64" s="31">
        <f>SUM(Tabel32[[#This Row],[OSTETUD OBJEKTE (tk)]]-Tabel32[[#This Row],[MÜÜDUD OBJEKTE (tk)]])</f>
        <v>40</v>
      </c>
      <c r="H64" s="32">
        <f t="shared" si="3"/>
        <v>0.23529411764705882</v>
      </c>
      <c r="I64" s="7" t="str">
        <f t="shared" si="2"/>
        <v>kriitiline</v>
      </c>
      <c r="J64" s="7">
        <f>Tabel32[[#This Row],[LAOJÄÄKE HETKEL(tk)]]*Tabel32[[#This Row],[Ladustamiskulu objekti kohta (e)]]</f>
        <v>320</v>
      </c>
      <c r="K64" s="7">
        <f>Tabel32[[#This Row],[MÜÜGIHIND]]*Tabel32[[#This Row],[MÜÜDUD OBJEKTE (tk)]]</f>
        <v>25350</v>
      </c>
      <c r="L64" s="7">
        <f>Tabel32[[#This Row],[BRUTOKASUM MÜÜGILT (e)]]-(Tabel32[[#This Row],[BRUTOKASUM MÜÜGILT (e)]]*22%)</f>
        <v>19773</v>
      </c>
      <c r="M64" s="1"/>
      <c r="R64"/>
    </row>
    <row r="67" spans="1:11" x14ac:dyDescent="0.3">
      <c r="I67" t="s">
        <v>134</v>
      </c>
      <c r="K67" s="2"/>
    </row>
    <row r="68" spans="1:11" x14ac:dyDescent="0.3">
      <c r="A68" t="s">
        <v>124</v>
      </c>
      <c r="C68" s="30">
        <f>SUM(Tabel32[OSTETUD OBJEKTE (tk)])</f>
        <v>1112</v>
      </c>
      <c r="E68" s="20" t="s">
        <v>132</v>
      </c>
      <c r="F68" s="21"/>
      <c r="G68" s="22"/>
      <c r="I68" t="s">
        <v>135</v>
      </c>
      <c r="K68" s="2"/>
    </row>
    <row r="69" spans="1:11" x14ac:dyDescent="0.3">
      <c r="A69" t="s">
        <v>125</v>
      </c>
      <c r="C69" s="29">
        <f>SUM(Tabel32[Ladustamiskulu objekti kohta (e)])*SUM(Tabel32[Ladustamiskulu objekti kohta (e)])</f>
        <v>4225</v>
      </c>
      <c r="E69" s="17"/>
      <c r="F69" s="18"/>
      <c r="G69" s="19"/>
      <c r="I69" t="s">
        <v>136</v>
      </c>
      <c r="K69" s="2"/>
    </row>
    <row r="70" spans="1:11" x14ac:dyDescent="0.3">
      <c r="A70" t="s">
        <v>126</v>
      </c>
      <c r="C70" s="30">
        <f ca="1">SUM(Tabel32[LAOJÄÄKE HETKEL(tk)])</f>
        <v>0</v>
      </c>
      <c r="E70" s="17"/>
      <c r="F70" s="18"/>
      <c r="G70" s="19"/>
      <c r="I70" t="s">
        <v>137</v>
      </c>
      <c r="K70" s="2"/>
    </row>
    <row r="71" spans="1:11" x14ac:dyDescent="0.3">
      <c r="A71" t="s">
        <v>127</v>
      </c>
      <c r="C71" s="2"/>
      <c r="I71" t="s">
        <v>138</v>
      </c>
      <c r="K71" s="2"/>
    </row>
    <row r="72" spans="1:11" x14ac:dyDescent="0.3">
      <c r="A72" t="s">
        <v>128</v>
      </c>
      <c r="C72" s="2"/>
      <c r="I72" t="s">
        <v>139</v>
      </c>
      <c r="K72" s="2"/>
    </row>
    <row r="73" spans="1:11" x14ac:dyDescent="0.3">
      <c r="A73" t="s">
        <v>129</v>
      </c>
      <c r="C73" s="2"/>
      <c r="E73" s="20" t="s">
        <v>133</v>
      </c>
      <c r="F73" s="21"/>
      <c r="G73" s="22"/>
      <c r="I73" t="s">
        <v>140</v>
      </c>
      <c r="K73" s="2"/>
    </row>
    <row r="74" spans="1:11" x14ac:dyDescent="0.3">
      <c r="A74" t="s">
        <v>130</v>
      </c>
      <c r="C74" s="2"/>
      <c r="E74" s="17"/>
      <c r="F74" s="18"/>
      <c r="G74" s="19"/>
      <c r="I74" t="s">
        <v>141</v>
      </c>
      <c r="K74" s="2"/>
    </row>
    <row r="75" spans="1:11" x14ac:dyDescent="0.3">
      <c r="A75" t="s">
        <v>131</v>
      </c>
      <c r="C75" s="2"/>
      <c r="E75" s="17"/>
      <c r="F75" s="18"/>
      <c r="G75" s="19"/>
    </row>
    <row r="79" spans="1:11" x14ac:dyDescent="0.3">
      <c r="A79" t="s">
        <v>142</v>
      </c>
    </row>
    <row r="80" spans="1:11" x14ac:dyDescent="0.3">
      <c r="A80" t="s">
        <v>143</v>
      </c>
    </row>
  </sheetData>
  <mergeCells count="15">
    <mergeCell ref="E35:G35"/>
    <mergeCell ref="E36:G36"/>
    <mergeCell ref="E37:G37"/>
    <mergeCell ref="E27:G27"/>
    <mergeCell ref="E28:G28"/>
    <mergeCell ref="E29:G29"/>
    <mergeCell ref="E31:G31"/>
    <mergeCell ref="E32:G32"/>
    <mergeCell ref="E33:G33"/>
    <mergeCell ref="E75:G75"/>
    <mergeCell ref="E68:G68"/>
    <mergeCell ref="E69:G69"/>
    <mergeCell ref="E70:G70"/>
    <mergeCell ref="E73:G73"/>
    <mergeCell ref="E74:G74"/>
  </mergeCells>
  <phoneticPr fontId="2" type="noConversion"/>
  <conditionalFormatting sqref="K2:K24">
    <cfRule type="containsText" dxfId="7" priority="16" operator="containsText" text="JAH">
      <formula>NOT(ISERROR(SEARCH("JAH",K2)))</formula>
    </cfRule>
  </conditionalFormatting>
  <conditionalFormatting sqref="K2:K24">
    <cfRule type="containsText" dxfId="6" priority="15" operator="containsText" text="EI">
      <formula>NOT(ISERROR(SEARCH("EI",K2)))</formula>
    </cfRule>
  </conditionalFormatting>
  <conditionalFormatting sqref="H2:H24">
    <cfRule type="dataBar" priority="1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{4040FE2F-C71F-4A50-A9B4-5B0EFDDC0DE3}</x14:id>
        </ext>
      </extLst>
    </cfRule>
  </conditionalFormatting>
  <conditionalFormatting sqref="K52:K64">
    <cfRule type="containsText" dxfId="5" priority="13" operator="containsText" text="JAH">
      <formula>NOT(ISERROR(SEARCH("JAH",K52)))</formula>
    </cfRule>
  </conditionalFormatting>
  <conditionalFormatting sqref="K52:K64">
    <cfRule type="containsText" dxfId="4" priority="12" operator="containsText" text="EI">
      <formula>NOT(ISERROR(SEARCH("EI",K52)))</formula>
    </cfRule>
  </conditionalFormatting>
  <conditionalFormatting sqref="H52:H64">
    <cfRule type="dataBar" priority="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{E8522731-EA68-4EBE-B6F2-7A4D5EDE4273}</x14:id>
        </ext>
      </extLst>
    </cfRule>
  </conditionalFormatting>
  <conditionalFormatting sqref="H52:H64">
    <cfRule type="dataBar" priority="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{8A1DB489-682C-4BB9-9607-15BB9D49D04C}</x14:id>
        </ext>
      </extLst>
    </cfRule>
  </conditionalFormatting>
  <conditionalFormatting sqref="I52:I64">
    <cfRule type="containsText" dxfId="3" priority="3" operator="containsText" text="OK">
      <formula>NOT(ISERROR(SEARCH("OK",I52)))</formula>
    </cfRule>
    <cfRule type="containsText" dxfId="2" priority="2" operator="containsText" text="kriitiline">
      <formula>NOT(ISERROR(SEARCH("kriitiline",I52)))</formula>
    </cfRule>
    <cfRule type="containsText" dxfId="1" priority="1" operator="containsText" text="telli juurde">
      <formula>NOT(ISERROR(SEARCH("telli juurde",I52)))</formula>
    </cfRule>
  </conditionalFormatting>
  <pageMargins left="0.7" right="0.7" top="0.75" bottom="0.75" header="0.3" footer="0.3"/>
  <pageSetup paperSize="9" orientation="portrait" r:id="rId1"/>
  <tableParts count="2">
    <tablePart r:id="rId2"/>
    <tablePart r:id="rId3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4040FE2F-C71F-4A50-A9B4-5B0EFDDC0DE3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H2:H24</xm:sqref>
        </x14:conditionalFormatting>
        <x14:conditionalFormatting xmlns:xm="http://schemas.microsoft.com/office/excel/2006/main">
          <x14:cfRule type="dataBar" id="{E8522731-EA68-4EBE-B6F2-7A4D5EDE4273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H52:H64</xm:sqref>
        </x14:conditionalFormatting>
        <x14:conditionalFormatting xmlns:xm="http://schemas.microsoft.com/office/excel/2006/main">
          <x14:cfRule type="dataBar" id="{8A1DB489-682C-4BB9-9607-15BB9D49D04C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H52:H64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Töölehed</vt:lpstr>
      </vt:variant>
      <vt:variant>
        <vt:i4>1</vt:i4>
      </vt:variant>
    </vt:vector>
  </HeadingPairs>
  <TitlesOfParts>
    <vt:vector size="1" baseType="lpstr">
      <vt:lpstr>Leht1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 Muoni</dc:creator>
  <cp:lastModifiedBy>Edgar Muoni</cp:lastModifiedBy>
  <dcterms:created xsi:type="dcterms:W3CDTF">2025-01-09T11:36:48Z</dcterms:created>
  <dcterms:modified xsi:type="dcterms:W3CDTF">2025-01-16T13:32:08Z</dcterms:modified>
</cp:coreProperties>
</file>