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time\Desktop\TARge23\Kont_tarkvara_automat\I\1.nädal\Edgar Muoni, TARge23\"/>
    </mc:Choice>
  </mc:AlternateContent>
  <xr:revisionPtr revIDLastSave="0" documentId="13_ncr:1_{1CFF9AF7-A8E3-4C39-8B52-38E5155E7AE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ünniaeg" sheetId="1" r:id="rId1"/>
    <sheet name="Reisid" sheetId="2" r:id="rId2"/>
    <sheet name="Riigipühad" sheetId="3" r:id="rId3"/>
    <sheet name="Tasu" sheetId="7" r:id="rId4"/>
    <sheet name="Saatekava" sheetId="8" r:id="rId5"/>
    <sheet name="Abi" sheetId="4" r:id="rId6"/>
  </sheets>
  <definedNames>
    <definedName name="Aeg">Reisid!$B$6:$B$20</definedName>
    <definedName name="Algus">Reisid!$D$6:$D$20</definedName>
    <definedName name="Hind">Reisid!$C$6:$C$20</definedName>
    <definedName name="K_Nr">Riigipühad!$H$4:$H$15</definedName>
    <definedName name="Kestus">Reisid!$F$6:$F$20</definedName>
    <definedName name="Kuu_nr">Riigipühad!$C$4:$C$15</definedName>
    <definedName name="Kuud">Riigipühad!$I$4:$I$15</definedName>
    <definedName name="Kuupäev">Riigipühad!$A$4:$A$15</definedName>
    <definedName name="Lõpp">Reisid!$E$6:$E$20</definedName>
    <definedName name="Mitu_tööpäeval">Riigipühad!$J$4:$J$15</definedName>
    <definedName name="Np_nr">Riigipühad!$D$4:$D$15</definedName>
    <definedName name="P_Num">Riigipühad!$D$4:$D$15</definedName>
    <definedName name="Palk">Tasu!$F$5:$F$9</definedName>
    <definedName name="päev">Abi!$C$4:$C$10</definedName>
    <definedName name="Päeva_maksumus">Reisid!$G$6:$G$20</definedName>
    <definedName name="Reisid" localSheetId="1">Reisid!$A$6:$C$12</definedName>
    <definedName name="Tunde">Tasu!$E$5:$E$9</definedName>
    <definedName name="Tunnitasu">Tasu!$C$2</definedName>
    <definedName name="Tööle">Tasu!$C$5:$C$9</definedName>
    <definedName name="Töölt">Tasu!$D$5:$D$9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9" i="8"/>
  <c r="E11" i="7"/>
  <c r="F5" i="7"/>
  <c r="E6" i="7"/>
  <c r="E7" i="7"/>
  <c r="E8" i="7"/>
  <c r="E9" i="7"/>
  <c r="E5" i="7"/>
  <c r="F5" i="3"/>
  <c r="F6" i="3"/>
  <c r="F7" i="3"/>
  <c r="F8" i="3"/>
  <c r="F9" i="3"/>
  <c r="F10" i="3"/>
  <c r="F11" i="3"/>
  <c r="F12" i="3"/>
  <c r="F13" i="3"/>
  <c r="F14" i="3"/>
  <c r="F15" i="3"/>
  <c r="F4" i="3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6" i="2"/>
  <c r="C5" i="8" l="1"/>
  <c r="J5" i="3"/>
  <c r="J16" i="3" s="1"/>
  <c r="J6" i="3"/>
  <c r="J7" i="3"/>
  <c r="J8" i="3"/>
  <c r="J9" i="3"/>
  <c r="J10" i="3"/>
  <c r="J11" i="3"/>
  <c r="J12" i="3"/>
  <c r="J13" i="3"/>
  <c r="J14" i="3"/>
  <c r="J15" i="3"/>
  <c r="J17" i="3"/>
  <c r="J4" i="3"/>
  <c r="F9" i="7"/>
  <c r="F8" i="7"/>
  <c r="F7" i="7"/>
  <c r="F6" i="7"/>
  <c r="C5" i="3"/>
  <c r="C6" i="3"/>
  <c r="C7" i="3"/>
  <c r="C8" i="3"/>
  <c r="C9" i="3"/>
  <c r="C10" i="3"/>
  <c r="C11" i="3"/>
  <c r="C12" i="3"/>
  <c r="C13" i="3"/>
  <c r="C14" i="3"/>
  <c r="C15" i="3"/>
  <c r="C4" i="3"/>
  <c r="D5" i="3"/>
  <c r="D6" i="3"/>
  <c r="D7" i="3"/>
  <c r="D8" i="3"/>
  <c r="D9" i="3"/>
  <c r="D10" i="3"/>
  <c r="D11" i="3"/>
  <c r="D12" i="3"/>
  <c r="D13" i="3"/>
  <c r="D14" i="3"/>
  <c r="D15" i="3"/>
  <c r="D4" i="3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B20" i="1"/>
  <c r="B19" i="1"/>
  <c r="B18" i="1"/>
  <c r="H14" i="2" l="1"/>
  <c r="I6" i="2"/>
  <c r="I14" i="2"/>
  <c r="I15" i="2"/>
  <c r="H7" i="2"/>
  <c r="H15" i="2"/>
  <c r="I7" i="2"/>
  <c r="I16" i="2"/>
  <c r="H8" i="2"/>
  <c r="H16" i="2"/>
  <c r="I8" i="2"/>
  <c r="I17" i="2"/>
  <c r="H9" i="2"/>
  <c r="H17" i="2"/>
  <c r="I9" i="2"/>
  <c r="I13" i="2"/>
  <c r="H10" i="2"/>
  <c r="H18" i="2"/>
  <c r="I10" i="2"/>
  <c r="I18" i="2"/>
  <c r="H13" i="2"/>
  <c r="H11" i="2"/>
  <c r="H19" i="2"/>
  <c r="I11" i="2"/>
  <c r="I19" i="2"/>
  <c r="H6" i="2"/>
  <c r="H12" i="2"/>
  <c r="H20" i="2"/>
  <c r="I12" i="2"/>
  <c r="I20" i="2"/>
  <c r="D5" i="1"/>
  <c r="D9" i="1"/>
  <c r="C9" i="1"/>
  <c r="B9" i="1"/>
  <c r="B10" i="1" s="1"/>
  <c r="B4" i="1"/>
  <c r="D10" i="1" l="1"/>
  <c r="D11" i="1" s="1"/>
  <c r="C10" i="1"/>
  <c r="C11" i="1" s="1"/>
  <c r="D4" i="1"/>
  <c r="B11" i="1"/>
  <c r="B14" i="1"/>
  <c r="D14" i="1" l="1"/>
  <c r="F1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Kersti Antoi</author>
  </authors>
  <commentList>
    <comment ref="E3" authorId="0" shapeId="0" xr:uid="{00000000-0006-0000-0200-000001000000}">
      <text>
        <r>
          <rPr>
            <sz val="9"/>
            <color indexed="81"/>
            <rFont val="Segoe UI"/>
            <family val="2"/>
            <charset val="186"/>
          </rPr>
          <t>Proovida fn TEXT, vorminguks "dddd"</t>
        </r>
      </text>
    </comment>
    <comment ref="F3" authorId="0" shapeId="0" xr:uid="{00000000-0006-0000-0200-000002000000}">
      <text>
        <r>
          <rPr>
            <sz val="9"/>
            <color indexed="81"/>
            <rFont val="Segoe UI"/>
            <family val="2"/>
            <charset val="186"/>
          </rPr>
          <t>Kasutada fn INDEX, väärtused võtta nimekirjast töölehel Abi.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Jüri Vilipõld</author>
  </authors>
  <commentList>
    <comment ref="H2" authorId="0" shapeId="0" xr:uid="{00000000-0006-0000-0300-000001000000}">
      <text>
        <r>
          <rPr>
            <sz val="12"/>
            <color indexed="81"/>
            <rFont val="Tahoma"/>
            <family val="2"/>
            <charset val="186"/>
          </rPr>
          <t>Teha tabel, millesse saaks kanda nädala iga
tööpäeva kohta tööletuleku aja ja lahkumise aja.
Tabelis arvutatada nädala töötundide arv ja töötasu
(tunnid * tunnitasu).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Irina Amitan</author>
  </authors>
  <commentList>
    <comment ref="A1" authorId="0" shapeId="0" xr:uid="{00000000-0006-0000-0400-000001000000}">
      <text>
        <r>
          <rPr>
            <sz val="12"/>
            <color indexed="81"/>
            <rFont val="Tahoma"/>
            <family val="2"/>
            <charset val="186"/>
          </rPr>
          <t>Saadete kavas leida iga saate (va. viimane) kestvus.
Leida pikim saade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isid" type="6" refreshedVersion="6" background="1" saveData="1">
    <textPr sourceFile="\\intra.ttu.ee\home\irina.amitan\Documents\Sugis_19\Andmetootlus\Harjutused\Reisid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<sst xmlns="http://schemas.openxmlformats.org/spreadsheetml/2006/main" count="144" uniqueCount="135">
  <si>
    <t>Sünniaeg</t>
  </si>
  <si>
    <t>Tänane kuupäev</t>
  </si>
  <si>
    <t>Kuupäev</t>
  </si>
  <si>
    <t>Alaska - suur seiklus maailma äärel</t>
  </si>
  <si>
    <t>Austraalia</t>
  </si>
  <si>
    <t>Dubai kultuuri- ja puhkusereis</t>
  </si>
  <si>
    <t>Sihtkoht</t>
  </si>
  <si>
    <t>Aeg</t>
  </si>
  <si>
    <t>Hind</t>
  </si>
  <si>
    <t>Algus</t>
  </si>
  <si>
    <t>Lõpp</t>
  </si>
  <si>
    <t>Uusaasta</t>
  </si>
  <si>
    <t>Iseseisvuspäev</t>
  </si>
  <si>
    <t>Suur reede</t>
  </si>
  <si>
    <t>1. ülestõusmispüha</t>
  </si>
  <si>
    <t>Kevadpüha</t>
  </si>
  <si>
    <t>1. nelipüha</t>
  </si>
  <si>
    <t>Võidupüha</t>
  </si>
  <si>
    <t>Jaanipäev</t>
  </si>
  <si>
    <t>Taasiseseisvumispäev</t>
  </si>
  <si>
    <t>Jõululaupäev</t>
  </si>
  <si>
    <t>1. Jõulupüha</t>
  </si>
  <si>
    <t>2. Jõulupüha</t>
  </si>
  <si>
    <t>Püha</t>
  </si>
  <si>
    <t>Nädalapäev</t>
  </si>
  <si>
    <t>päev</t>
  </si>
  <si>
    <t>Esmaspäev</t>
  </si>
  <si>
    <t>Teisipäev</t>
  </si>
  <si>
    <t>Kolmapäev</t>
  </si>
  <si>
    <t>Neljapäev</t>
  </si>
  <si>
    <t>Reede</t>
  </si>
  <si>
    <t>Laupäev</t>
  </si>
  <si>
    <t>Pühapäev</t>
  </si>
  <si>
    <t>K_Nr</t>
  </si>
  <si>
    <t>P_Nr</t>
  </si>
  <si>
    <t>Kokku</t>
  </si>
  <si>
    <t>Sh. nädalapäevadel</t>
  </si>
  <si>
    <t>Tööle</t>
  </si>
  <si>
    <t>Töölt</t>
  </si>
  <si>
    <t>KOKKU</t>
  </si>
  <si>
    <t>Nädala töötasu</t>
  </si>
  <si>
    <t>Tunnitasu</t>
  </si>
  <si>
    <t>Töötasu arvutamine</t>
  </si>
  <si>
    <t>Tunde</t>
  </si>
  <si>
    <t>Palk</t>
  </si>
  <si>
    <t>Saadete pikkuse arvutamine</t>
  </si>
  <si>
    <t>Saade</t>
  </si>
  <si>
    <t>Pikim saade</t>
  </si>
  <si>
    <t>tundi</t>
  </si>
  <si>
    <t>Nokturn</t>
  </si>
  <si>
    <t>Päevakaja</t>
  </si>
  <si>
    <t>Kella-6-džäss</t>
  </si>
  <si>
    <t>Vanus</t>
  </si>
  <si>
    <t>päevades</t>
  </si>
  <si>
    <t>jooksev</t>
  </si>
  <si>
    <t>järgmine</t>
  </si>
  <si>
    <t>Aastad</t>
  </si>
  <si>
    <t>Sünnipäevad</t>
  </si>
  <si>
    <t>Nädalapäevad</t>
  </si>
  <si>
    <t>Järgmine sünnipäev</t>
  </si>
  <si>
    <t>selleni on aega</t>
  </si>
  <si>
    <t>päeva</t>
  </si>
  <si>
    <t>Ameerika Ühendriigid</t>
  </si>
  <si>
    <t>Argentina-Tšiili ringreis ja Lihavõttesaar</t>
  </si>
  <si>
    <t>Armeenia</t>
  </si>
  <si>
    <t>Aserbaidžaan – reis tuledemaale</t>
  </si>
  <si>
    <t>Birma - maagiliste templite ja kaunite randade maa</t>
  </si>
  <si>
    <t>Dubai puhkus</t>
  </si>
  <si>
    <t>Ecuador - kultuuri- ja loodusreis</t>
  </si>
  <si>
    <t>Ecuador ja Galapagose saared - kultuuri- ja loodusreis</t>
  </si>
  <si>
    <t>Etioopia - Omo oru hõimud</t>
  </si>
  <si>
    <t>Etioopia - rännak Eedeni aias</t>
  </si>
  <si>
    <t xml:space="preserve">Fääri saared </t>
  </si>
  <si>
    <t>Gröönimaa</t>
  </si>
  <si>
    <t>Klassikahommik. Marius Peterson</t>
  </si>
  <si>
    <t>Hommikumäng</t>
  </si>
  <si>
    <t>Lihtsalt nostalgia</t>
  </si>
  <si>
    <t>Veemuusika</t>
  </si>
  <si>
    <t>Album. Segakoor Noorus - "Lendutõus"</t>
  </si>
  <si>
    <t>Keskpäevased uudised</t>
  </si>
  <si>
    <t>Kaleidoskoop</t>
  </si>
  <si>
    <t>Delta</t>
  </si>
  <si>
    <t>Uudised</t>
  </si>
  <si>
    <t>Amadeus +</t>
  </si>
  <si>
    <t>Kultuuriuudised</t>
  </si>
  <si>
    <t>Jutujärg. Liblikas, 2</t>
  </si>
  <si>
    <t>Da Capo</t>
  </si>
  <si>
    <t>Kontserdisaalis. The Tallis Scholars - Byrd, Guerrero, Victoria</t>
  </si>
  <si>
    <t>Nyyd-muusika</t>
  </si>
  <si>
    <t>Fantaasia. Skeene Niidistik</t>
  </si>
  <si>
    <t>RANK</t>
  </si>
  <si>
    <t>Kestus</t>
  </si>
  <si>
    <t>Jaanuar</t>
  </si>
  <si>
    <t>Veebruar</t>
  </si>
  <si>
    <t>Märts</t>
  </si>
  <si>
    <t>Aprill</t>
  </si>
  <si>
    <t>Mai</t>
  </si>
  <si>
    <t>Juuni</t>
  </si>
  <si>
    <t>Juuli</t>
  </si>
  <si>
    <t>August</t>
  </si>
  <si>
    <t>September</t>
  </si>
  <si>
    <t>Oktoober</t>
  </si>
  <si>
    <t>November</t>
  </si>
  <si>
    <t>Detsember</t>
  </si>
  <si>
    <t>[h]:mm</t>
  </si>
  <si>
    <t>rank: 0 - kahaneb, 1- kasvab</t>
  </si>
  <si>
    <t>Elatud päevade arv</t>
  </si>
  <si>
    <t>Sellise "juubeli" kuupäev</t>
  </si>
  <si>
    <t>aastates (täpne)</t>
  </si>
  <si>
    <t>täisaastates (ümard. alla)</t>
  </si>
  <si>
    <t>Päeva maksumus</t>
  </si>
  <si>
    <t>Järjestus</t>
  </si>
  <si>
    <t>Nädalapäev tekstina (ise)</t>
  </si>
  <si>
    <t>Kuu nr</t>
  </si>
  <si>
    <t>Np nr</t>
  </si>
  <si>
    <t>Tekst</t>
  </si>
  <si>
    <t>kuud</t>
  </si>
  <si>
    <t>Mitu kuul</t>
  </si>
  <si>
    <t>year</t>
  </si>
  <si>
    <t>montyh</t>
  </si>
  <si>
    <t>day</t>
  </si>
  <si>
    <t>02.07.2022 - 11.07.2022</t>
  </si>
  <si>
    <t>30.09.2022 - 12.10.2022</t>
  </si>
  <si>
    <t>05.11.2022 - 21.11.2022</t>
  </si>
  <si>
    <t>02.06.2022 - 10.06.2022</t>
  </si>
  <si>
    <t>02.10.2020 - 09.10.2020</t>
  </si>
  <si>
    <t>02.12.2020 - 15.12.2020</t>
  </si>
  <si>
    <t>16.11.2020 - 29.11.2020</t>
  </si>
  <si>
    <t>24.10.2020 - 31.10.2020</t>
  </si>
  <si>
    <t>13.11.2022 - 25.11.2022</t>
  </si>
  <si>
    <t>13.11.2022 - 29.11.2022</t>
  </si>
  <si>
    <t>31.10.2022 - 10.11.2022</t>
  </si>
  <si>
    <t>12.11.2022 - 22.11.2022</t>
  </si>
  <si>
    <t>02.07.2022 - 06.07.2022</t>
  </si>
  <si>
    <t>28.06.2022 - 05.07.2022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</si>
</sst>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dd\.mm\.yy;@"/>
    <numFmt numFmtId="165" formatCode="_-* #,##0.00\ [$€-425]_-;\-* #,##0.00\ [$€-425]_-;_-* &quot;-&quot;??\ [$€-425]_-;_-@_-"/>
    <numFmt numFmtId="166" formatCode="[h]:mm"/>
    <numFmt numFmtId="167" formatCode="[$-F400]h:mm:ss\ AM/PM"/>
    <numFmt numFmtId="168" formatCode="dddd"/>
  </numFmts>
  <fonts count="1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sz val="14"/>
      <color rgb="FF000000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2"/>
      <name val="Arial"/>
      <family val="2"/>
      <charset val="204"/>
    </font>
    <font>
      <b/>
      <sz val="12"/>
      <color rgb="FF000080"/>
      <name val="Arial"/>
      <family val="2"/>
      <charset val="186"/>
    </font>
    <font>
      <b/>
      <sz val="12"/>
      <color indexed="18"/>
      <name val="Arial"/>
      <family val="2"/>
      <charset val="204"/>
    </font>
    <font>
      <sz val="12"/>
      <color indexed="81"/>
      <name val="Tahoma"/>
      <family val="2"/>
      <charset val="186"/>
    </font>
    <font>
      <sz val="14"/>
      <name val="Arial"/>
      <family val="2"/>
      <charset val="204"/>
    </font>
    <font>
      <sz val="9"/>
      <color indexed="81"/>
      <name val="Segoe UI"/>
      <family val="2"/>
      <charset val="186"/>
    </font>
    <font>
      <i/>
      <sz val="14"/>
      <color rgb="FF000000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7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20" fontId="4" fillId="0" borderId="0" xfId="0" applyNumberFormat="1" applyFont="1"/>
    <xf numFmtId="0" fontId="6" fillId="0" borderId="0" xfId="2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Border="1"/>
    <xf numFmtId="20" fontId="4" fillId="0" borderId="3" xfId="0" applyNumberFormat="1" applyFont="1" applyBorder="1"/>
    <xf numFmtId="20" fontId="5" fillId="3" borderId="3" xfId="2" quotePrefix="1" applyNumberFormat="1" applyFont="1" applyFill="1" applyBorder="1"/>
    <xf numFmtId="165" fontId="5" fillId="3" borderId="3" xfId="2" quotePrefix="1" applyNumberFormat="1" applyFont="1" applyFill="1" applyBorder="1"/>
    <xf numFmtId="167" fontId="4" fillId="0" borderId="0" xfId="0" applyNumberFormat="1" applyFont="1"/>
    <xf numFmtId="14" fontId="2" fillId="0" borderId="0" xfId="0" applyNumberFormat="1" applyFont="1"/>
    <xf numFmtId="8" fontId="2" fillId="0" borderId="0" xfId="0" applyNumberFormat="1" applyFont="1"/>
    <xf numFmtId="0" fontId="2" fillId="0" borderId="0" xfId="0" applyFont="1" applyFill="1"/>
    <xf numFmtId="20" fontId="4" fillId="0" borderId="0" xfId="0" applyNumberFormat="1" applyFont="1" applyFill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7" fillId="4" borderId="0" xfId="2" applyFont="1" applyFill="1" applyBorder="1"/>
    <xf numFmtId="0" fontId="7" fillId="0" borderId="0" xfId="2" applyFont="1" applyFill="1" applyBorder="1" applyAlignment="1">
      <alignment horizontal="right"/>
    </xf>
    <xf numFmtId="0" fontId="0" fillId="4" borderId="0" xfId="0" applyFill="1"/>
    <xf numFmtId="0" fontId="2" fillId="2" borderId="3" xfId="0" applyFont="1" applyFill="1" applyBorder="1"/>
    <xf numFmtId="0" fontId="2" fillId="5" borderId="3" xfId="0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20" fontId="0" fillId="2" borderId="3" xfId="0" applyNumberFormat="1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14" fontId="2" fillId="2" borderId="1" xfId="0" applyNumberFormat="1" applyFont="1" applyFill="1" applyBorder="1"/>
    <xf numFmtId="0" fontId="2" fillId="0" borderId="3" xfId="0" applyNumberFormat="1" applyFont="1" applyBorder="1"/>
    <xf numFmtId="0" fontId="2" fillId="0" borderId="3" xfId="0" applyFont="1" applyFill="1" applyBorder="1"/>
    <xf numFmtId="165" fontId="2" fillId="2" borderId="3" xfId="0" applyNumberFormat="1" applyFont="1" applyFill="1" applyBorder="1"/>
    <xf numFmtId="20" fontId="4" fillId="2" borderId="3" xfId="0" applyNumberFormat="1" applyFont="1" applyFill="1" applyBorder="1"/>
    <xf numFmtId="0" fontId="4" fillId="2" borderId="3" xfId="0" applyFont="1" applyFill="1" applyBorder="1"/>
    <xf numFmtId="0" fontId="2" fillId="0" borderId="0" xfId="0" applyFont="1" applyBorder="1"/>
    <xf numFmtId="14" fontId="2" fillId="0" borderId="0" xfId="0" applyNumberFormat="1" applyFont="1" applyBorder="1"/>
    <xf numFmtId="1" fontId="2" fillId="0" borderId="0" xfId="0" applyNumberFormat="1" applyFont="1"/>
    <xf numFmtId="0" fontId="2" fillId="4" borderId="0" xfId="0" applyFont="1" applyFill="1" applyBorder="1"/>
    <xf numFmtId="14" fontId="2" fillId="5" borderId="3" xfId="0" applyNumberFormat="1" applyFont="1" applyFill="1" applyBorder="1"/>
    <xf numFmtId="165" fontId="2" fillId="5" borderId="3" xfId="0" applyNumberFormat="1" applyFont="1" applyFill="1" applyBorder="1"/>
    <xf numFmtId="44" fontId="4" fillId="2" borderId="0" xfId="1" applyFont="1" applyFill="1"/>
    <xf numFmtId="2" fontId="0" fillId="5" borderId="4" xfId="0" applyNumberFormat="1" applyFill="1" applyBorder="1"/>
    <xf numFmtId="166" fontId="0" fillId="0" borderId="0" xfId="0" applyNumberFormat="1"/>
    <xf numFmtId="0" fontId="2" fillId="4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8" fontId="3" fillId="0" borderId="0" xfId="0" applyNumberFormat="1" applyFont="1"/>
    <xf numFmtId="168" fontId="2" fillId="0" borderId="0" xfId="0" applyNumberFormat="1" applyFont="1"/>
    <xf numFmtId="0" fontId="2" fillId="4" borderId="2" xfId="0" applyFont="1" applyFill="1" applyBorder="1" applyAlignment="1">
      <alignment wrapText="1"/>
    </xf>
    <xf numFmtId="2" fontId="5" fillId="0" borderId="0" xfId="2" applyNumberFormat="1" applyFont="1" applyFill="1" applyBorder="1"/>
    <xf numFmtId="0" fontId="11" fillId="0" borderId="0" xfId="0" applyFont="1"/>
    <xf numFmtId="0" fontId="4" fillId="0" borderId="0" xfId="0" applyNumberFormat="1" applyFont="1"/>
    <xf numFmtId="166" fontId="4" fillId="0" borderId="0" xfId="0" applyNumberFormat="1" applyFont="1"/>
    <xf numFmtId="1" fontId="2" fillId="5" borderId="3" xfId="0" applyNumberFormat="1" applyFont="1" applyFill="1" applyBorder="1"/>
    <xf numFmtId="166" fontId="5" fillId="3" borderId="3" xfId="2" quotePrefix="1" applyNumberFormat="1" applyFont="1" applyFill="1" applyBorder="1"/>
    <xf numFmtId="2" fontId="9" fillId="3" borderId="3" xfId="2" applyNumberFormat="1" applyFont="1" applyFill="1" applyBorder="1"/>
  </cellXfs>
  <cellStyles count="3">
    <cellStyle name="Currency" xfId="1" builtinId="4"/>
    <cellStyle name="Normal" xfId="0" builtinId="0"/>
    <cellStyle name="Normal_aeg" xfId="2" xr:uid="{00000000-0005-0000-0000-000001000000}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214418</xdr:colOff>
      <xdr:row>6</xdr:row>
      <xdr:rowOff>115147</xdr:rowOff>
    </xdr:from>
    <xdr:to>
      <xdr:col>14</xdr:col>
      <xdr:colOff>304799</xdr:colOff>
      <xdr:row>14</xdr:row>
      <xdr:rowOff>22859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08738" y="1745827"/>
          <a:ext cx="4296621" cy="17365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200"/>
            <a:t>1. Sisestage tabelisse mõne isiku (või iseenda) sünniaeg.</a:t>
          </a:r>
        </a:p>
        <a:p>
          <a:endParaRPr lang="et-EE" sz="1200"/>
        </a:p>
        <a:p>
          <a:r>
            <a:rPr lang="et-EE" sz="1200"/>
            <a:t>Arvutage isiku vanus täisaastates, tema järgmine sünnipäev ja päevade arv järgmise sünnipäevani.</a:t>
          </a:r>
        </a:p>
        <a:p>
          <a:endParaRPr lang="et-EE" sz="1200"/>
        </a:p>
        <a:p>
          <a:r>
            <a:rPr lang="et-EE" sz="1200"/>
            <a:t>Leidke kuupäevad, millal antud isik sai/saab </a:t>
          </a:r>
          <a:br>
            <a:rPr lang="et-EE" sz="1200"/>
          </a:br>
          <a:r>
            <a:rPr lang="et-EE" sz="1200"/>
            <a:t>5000, 10000 ja 25000 päeva vanaks.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0</xdr:row>
      <xdr:rowOff>28575</xdr:rowOff>
    </xdr:from>
    <xdr:to>
      <xdr:col>17</xdr:col>
      <xdr:colOff>400051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258676" y="28575"/>
          <a:ext cx="51911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/>
            <a:t>2. Failis  on andmed selle aasta eksootikareiside kohta. </a:t>
          </a:r>
        </a:p>
        <a:p>
          <a:r>
            <a:rPr lang="et-EE" sz="1400"/>
            <a:t>Leidke iga reisi pikkus päevades ja ühe päeva maksumus.</a:t>
          </a:r>
        </a:p>
        <a:p>
          <a:r>
            <a:rPr lang="et-EE" sz="1400"/>
            <a:t>Nummerdage reisid selle viimase näitaja alusel.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3375025" cy="19403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287000" y="0"/>
          <a:ext cx="3375025" cy="194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/>
            <a:t>3. Leida, mitu riiklikku püha on igas kuus </a:t>
          </a:r>
          <a:r>
            <a:rPr lang="et-E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ning mitmel korral igas kuus langevad nad tööpäevadele.</a:t>
          </a:r>
          <a:endParaRPr lang="en-US">
            <a:effectLst/>
          </a:endParaRPr>
        </a:p>
        <a:p>
          <a:r>
            <a:rPr lang="et-EE" sz="1100"/>
            <a:t>:</a:t>
          </a:r>
        </a:p>
        <a:p>
          <a:r>
            <a:rPr lang="et-EE" sz="1100"/>
            <a:t>Kuu	Pühi</a:t>
          </a:r>
        </a:p>
        <a:p>
          <a:r>
            <a:rPr lang="et-EE" sz="1100"/>
            <a:t>Jaanuar	1</a:t>
          </a:r>
        </a:p>
        <a:p>
          <a:r>
            <a:rPr lang="et-EE" sz="1100"/>
            <a:t>Veebruar	1</a:t>
          </a:r>
        </a:p>
        <a:p>
          <a:r>
            <a:rPr lang="et-EE" sz="1100"/>
            <a:t>Märts	...</a:t>
          </a:r>
        </a:p>
        <a:p>
          <a:r>
            <a:rPr lang="et-EE" sz="1100"/>
            <a:t>...</a:t>
          </a:r>
        </a:p>
        <a:p>
          <a:r>
            <a:rPr lang="et-EE" sz="1100"/>
            <a:t>Detsember	3</a:t>
          </a:r>
        </a:p>
        <a:p>
          <a:r>
            <a:rPr lang="et-EE" sz="1100"/>
            <a:t>Kokku	...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0</xdr:row>
      <xdr:rowOff>38100</xdr:rowOff>
    </xdr:from>
    <xdr:ext cx="4248150" cy="10947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3BAE20-D552-4125-92BC-12E5FB86227F}"/>
            </a:ext>
          </a:extLst>
        </xdr:cNvPr>
        <xdr:cNvSpPr txBox="1"/>
      </xdr:nvSpPr>
      <xdr:spPr>
        <a:xfrm>
          <a:off x="8124825" y="38100"/>
          <a:ext cx="4248150" cy="1094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t">
          <a:spAutoFit/>
        </a:bodyPr>
        <a:lstStyle/>
        <a:p>
          <a:r>
            <a:rPr lang="et-EE" sz="1400"/>
            <a:t>Leida</a:t>
          </a:r>
          <a:r>
            <a:rPr lang="en-US" sz="1400"/>
            <a:t> kavas iga saate (va. viimane) kestus.</a:t>
          </a:r>
        </a:p>
        <a:p>
          <a:r>
            <a:rPr lang="en-US" sz="1400"/>
            <a:t>Leida pikim</a:t>
          </a:r>
          <a:r>
            <a:rPr lang="et-EE" sz="1400"/>
            <a:t>a</a:t>
          </a:r>
          <a:r>
            <a:rPr lang="en-US" sz="1400"/>
            <a:t> saa</a:t>
          </a:r>
          <a:r>
            <a:rPr lang="et-EE" sz="1400"/>
            <a:t>t</a:t>
          </a:r>
          <a:r>
            <a:rPr lang="en-US" sz="1400"/>
            <a:t>e</a:t>
          </a:r>
          <a:r>
            <a:rPr lang="et-EE" sz="1400"/>
            <a:t> aeg.</a:t>
          </a:r>
        </a:p>
        <a:p>
          <a:r>
            <a:rPr lang="et-EE" sz="1400"/>
            <a:t>Koostada valem korraliku</a:t>
          </a:r>
          <a:r>
            <a:rPr lang="et-EE" sz="1400" baseline="0"/>
            <a:t> täislause moodustamiseks: </a:t>
          </a:r>
        </a:p>
        <a:p>
          <a:r>
            <a:rPr lang="et-EE" sz="1400" i="1" baseline="0"/>
            <a:t>Päeva pikim saade kestab ... minutit</a:t>
          </a:r>
          <a:endParaRPr lang="en-US" sz="1400" i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isid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Normal="100" workbookViewId="0">
      <selection activeCell="C10" sqref="C10"/>
    </sheetView>
  </sheetViews>
  <sheetFormatPr defaultColWidth="9.109375" defaultRowHeight="18" x14ac:dyDescent="0.35"/>
  <cols>
    <col min="1" max="1" width="23.44140625" style="1" bestFit="1" customWidth="1"/>
    <col min="2" max="2" width="20.44140625" style="1" customWidth="1"/>
    <col min="3" max="3" width="17.5546875" style="1" bestFit="1" customWidth="1"/>
    <col min="4" max="4" width="14.33203125" style="1" bestFit="1" customWidth="1"/>
    <col min="5" max="5" width="21.6640625" style="1" customWidth="1"/>
    <col min="6" max="6" width="10.6640625" style="1" bestFit="1" customWidth="1"/>
    <col min="7" max="7" width="9" style="1" bestFit="1" customWidth="1"/>
    <col min="8" max="8" width="6.6640625" style="1" customWidth="1"/>
    <col min="9" max="16384" width="9.109375" style="1"/>
  </cols>
  <sheetData>
    <row r="1" spans="1:8" x14ac:dyDescent="0.35">
      <c r="F1" s="1" t="s">
        <v>118</v>
      </c>
      <c r="G1" s="1" t="s">
        <v>119</v>
      </c>
      <c r="H1" s="1" t="s">
        <v>120</v>
      </c>
    </row>
    <row r="2" spans="1:8" ht="18.600000000000001" thickBot="1" x14ac:dyDescent="0.4">
      <c r="F2" s="1">
        <v>2000</v>
      </c>
      <c r="G2" s="1">
        <v>2</v>
      </c>
      <c r="H2" s="1">
        <v>29</v>
      </c>
    </row>
    <row r="3" spans="1:8" ht="18.600000000000001" thickBot="1" x14ac:dyDescent="0.4">
      <c r="A3" s="1" t="s">
        <v>0</v>
      </c>
      <c r="B3" s="30">
        <v>36585</v>
      </c>
      <c r="D3" s="1" t="s">
        <v>52</v>
      </c>
      <c r="E3" s="1" t="s">
        <v>53</v>
      </c>
    </row>
    <row r="4" spans="1:8" x14ac:dyDescent="0.35">
      <c r="A4" s="1" t="s">
        <v>1</v>
      </c>
      <c r="B4" s="14">
        <f ca="1">TODAY()</f>
        <v>45306</v>
      </c>
      <c r="D4" s="1">
        <f ca="1">YEAR(B4)-YEAR(B3)</f>
        <v>24</v>
      </c>
      <c r="E4" s="1" t="s">
        <v>108</v>
      </c>
    </row>
    <row r="5" spans="1:8" ht="37.5" customHeight="1" x14ac:dyDescent="0.35">
      <c r="D5" s="1">
        <f ca="1">_xlfn.DAYS(TODAY(), DATE(2000, 2, 29))</f>
        <v>8721</v>
      </c>
      <c r="E5" s="46" t="s">
        <v>109</v>
      </c>
      <c r="F5" s="38"/>
    </row>
    <row r="8" spans="1:8" x14ac:dyDescent="0.35">
      <c r="B8" s="39" t="s">
        <v>54</v>
      </c>
      <c r="C8" s="39" t="s">
        <v>55</v>
      </c>
    </row>
    <row r="9" spans="1:8" x14ac:dyDescent="0.35">
      <c r="A9" s="32" t="s">
        <v>56</v>
      </c>
      <c r="B9" s="25">
        <f ca="1">YEAR(TODAY())</f>
        <v>2024</v>
      </c>
      <c r="C9" s="25">
        <f ca="1">YEAR(TODAY())+1</f>
        <v>2025</v>
      </c>
      <c r="D9" s="25">
        <f ca="1">YEAR(TODAY())+2</f>
        <v>2026</v>
      </c>
    </row>
    <row r="10" spans="1:8" x14ac:dyDescent="0.35">
      <c r="A10" s="32" t="s">
        <v>57</v>
      </c>
      <c r="B10" s="26">
        <f ca="1">DATE(B9,MONTH(B3),DAY(B3))</f>
        <v>45351</v>
      </c>
      <c r="C10" s="14">
        <f ca="1">DATE(YEAR(B3)+DATEDIF(B3,B4,"y")+2,MONTH(B3),DAY(B3))</f>
        <v>45717</v>
      </c>
      <c r="D10" s="14">
        <f ca="1">DATE(YEAR(B3)+DATEDIF(B3,B4,"y")+3,MONTH(B3),DAY(B3))</f>
        <v>46082</v>
      </c>
    </row>
    <row r="11" spans="1:8" x14ac:dyDescent="0.35">
      <c r="A11" s="32" t="s">
        <v>58</v>
      </c>
      <c r="B11" s="31">
        <f ca="1">WEEKDAY(B10,2)</f>
        <v>4</v>
      </c>
      <c r="C11" s="31">
        <f t="shared" ref="C11:D11" ca="1" si="0">WEEKDAY(C10,2)</f>
        <v>6</v>
      </c>
      <c r="D11" s="31">
        <f t="shared" ca="1" si="0"/>
        <v>7</v>
      </c>
    </row>
    <row r="12" spans="1:8" x14ac:dyDescent="0.35">
      <c r="A12" s="36"/>
      <c r="B12" s="2"/>
      <c r="E12" s="36"/>
    </row>
    <row r="13" spans="1:8" x14ac:dyDescent="0.35">
      <c r="A13" s="36"/>
      <c r="B13" s="37"/>
      <c r="C13" s="36"/>
      <c r="D13" s="36"/>
      <c r="E13" s="36"/>
    </row>
    <row r="14" spans="1:8" x14ac:dyDescent="0.35">
      <c r="A14" s="25" t="s">
        <v>59</v>
      </c>
      <c r="B14" s="2">
        <f ca="1">DATE(YEAR(B3)+DATEDIF(B3,B4,"y")+1,MONTH(B3),DAY(B3))</f>
        <v>45351</v>
      </c>
      <c r="C14" s="1" t="s">
        <v>60</v>
      </c>
      <c r="D14" s="1">
        <f ca="1">DATEDIF(B4,B14,"d")</f>
        <v>45</v>
      </c>
      <c r="E14" s="25" t="s">
        <v>61</v>
      </c>
    </row>
    <row r="15" spans="1:8" x14ac:dyDescent="0.35">
      <c r="A15" s="36"/>
      <c r="B15" s="37"/>
      <c r="C15" s="36"/>
      <c r="D15" s="36"/>
      <c r="E15" s="36"/>
    </row>
    <row r="16" spans="1:8" x14ac:dyDescent="0.35">
      <c r="A16" s="36"/>
      <c r="B16" s="37"/>
      <c r="C16" s="36"/>
      <c r="D16" s="36"/>
      <c r="E16" s="36"/>
    </row>
    <row r="17" spans="1:7" ht="36.75" customHeight="1" x14ac:dyDescent="0.35">
      <c r="A17" s="18" t="s">
        <v>106</v>
      </c>
      <c r="B17" s="45" t="s">
        <v>107</v>
      </c>
    </row>
    <row r="18" spans="1:7" x14ac:dyDescent="0.35">
      <c r="A18" s="23">
        <v>5000</v>
      </c>
      <c r="B18" s="14">
        <f>DATE(2000,2,29)+5000</f>
        <v>41585</v>
      </c>
    </row>
    <row r="19" spans="1:7" x14ac:dyDescent="0.35">
      <c r="A19" s="23">
        <v>10000</v>
      </c>
      <c r="B19" s="14">
        <f>DATE(2000,2,29)+10000</f>
        <v>46585</v>
      </c>
    </row>
    <row r="20" spans="1:7" x14ac:dyDescent="0.35">
      <c r="A20" s="23">
        <v>25000</v>
      </c>
      <c r="B20" s="14">
        <f>DATE(2000,2,29)+25000</f>
        <v>61585</v>
      </c>
      <c r="D20" s="16"/>
      <c r="E20" s="16"/>
      <c r="F20" s="16"/>
      <c r="G2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B4" workbookViewId="0">
      <selection activeCell="H6" sqref="H6"/>
    </sheetView>
  </sheetViews>
  <sheetFormatPr defaultColWidth="9.109375" defaultRowHeight="18" x14ac:dyDescent="0.35"/>
  <cols>
    <col min="1" max="1" width="61.88671875" style="1" bestFit="1" customWidth="1"/>
    <col min="2" max="2" width="35.33203125" style="1" bestFit="1" customWidth="1"/>
    <col min="3" max="3" width="15" style="1" bestFit="1" customWidth="1"/>
    <col min="4" max="5" width="14.33203125" style="1" bestFit="1" customWidth="1"/>
    <col min="6" max="6" width="13.109375" style="1" bestFit="1" customWidth="1"/>
    <col min="7" max="7" width="15.6640625" style="1" customWidth="1"/>
    <col min="8" max="8" width="12.44140625" style="1" customWidth="1"/>
    <col min="9" max="9" width="9.33203125" style="1" customWidth="1"/>
    <col min="10" max="10" width="4.33203125" style="1" customWidth="1"/>
    <col min="11" max="16384" width="9.109375" style="1"/>
  </cols>
  <sheetData>
    <row r="1" spans="1:13" x14ac:dyDescent="0.35">
      <c r="H1" s="1" t="s">
        <v>90</v>
      </c>
    </row>
    <row r="5" spans="1:13" ht="34.5" customHeight="1" x14ac:dyDescent="0.35">
      <c r="A5" s="18" t="s">
        <v>6</v>
      </c>
      <c r="B5" s="18" t="s">
        <v>7</v>
      </c>
      <c r="C5" s="18" t="s">
        <v>8</v>
      </c>
      <c r="D5" s="18" t="s">
        <v>9</v>
      </c>
      <c r="E5" s="19" t="s">
        <v>10</v>
      </c>
      <c r="F5" s="18" t="s">
        <v>91</v>
      </c>
      <c r="G5" s="45" t="s">
        <v>110</v>
      </c>
      <c r="H5" s="45" t="s">
        <v>111</v>
      </c>
    </row>
    <row r="6" spans="1:13" x14ac:dyDescent="0.35">
      <c r="A6" s="1" t="s">
        <v>3</v>
      </c>
      <c r="B6" s="23" t="s">
        <v>121</v>
      </c>
      <c r="C6" s="33">
        <v>4499</v>
      </c>
      <c r="D6" s="40">
        <f>DATE(VALUE(MID(B6, 7, 4)), VALUE(MID(B6, 4, 2)),VALUE(LEFT(B6,2)))</f>
        <v>44744</v>
      </c>
      <c r="E6" s="40">
        <f>DATE(VALUE(MID(B6, 20, 4)), VALUE(MID(B6, 17, 2)), VALUE(MID(B6, 14, 2)))</f>
        <v>44753</v>
      </c>
      <c r="F6" s="54">
        <f>_xlfn.DAYS(E6,D6)+1</f>
        <v>10</v>
      </c>
      <c r="G6" s="41">
        <f>C6/F6</f>
        <v>449.9</v>
      </c>
      <c r="H6" s="54">
        <f t="shared" ref="H6:H20" si="0">_xlfn.RANK.EQ(G6, Päeva_maksumus, 0)</f>
        <v>1</v>
      </c>
      <c r="I6" s="24">
        <f t="shared" ref="I6:I20" si="1">_xlfn.RANK.EQ(G6, Päeva_maksumus, 1)</f>
        <v>15</v>
      </c>
    </row>
    <row r="7" spans="1:13" x14ac:dyDescent="0.35">
      <c r="A7" s="1" t="s">
        <v>62</v>
      </c>
      <c r="B7" s="23" t="s">
        <v>122</v>
      </c>
      <c r="C7" s="33">
        <v>3699</v>
      </c>
      <c r="D7" s="40">
        <f t="shared" ref="D7:D20" si="2">DATE(VALUE(MID(B7, 7, 4)), VALUE(MID(B7, 4, 2)),VALUE(LEFT(B7,2)))</f>
        <v>44834</v>
      </c>
      <c r="E7" s="40">
        <f t="shared" ref="E7:E20" si="3">DATE(VALUE(MID(B7, 20, 4)), VALUE(MID(B7, 17, 2)), VALUE(MID(B7, 14, 2)))</f>
        <v>44846</v>
      </c>
      <c r="F7" s="54">
        <f t="shared" ref="F7:F20" si="4">_xlfn.DAYS(E7,D7)+1</f>
        <v>13</v>
      </c>
      <c r="G7" s="41">
        <f t="shared" ref="G7:G20" si="5">C7/F7</f>
        <v>284.53846153846155</v>
      </c>
      <c r="H7" s="54">
        <f t="shared" si="0"/>
        <v>7</v>
      </c>
      <c r="I7" s="24">
        <f t="shared" si="1"/>
        <v>9</v>
      </c>
    </row>
    <row r="8" spans="1:13" x14ac:dyDescent="0.35">
      <c r="A8" s="1" t="s">
        <v>63</v>
      </c>
      <c r="B8" s="23" t="s">
        <v>123</v>
      </c>
      <c r="C8" s="33">
        <v>5555</v>
      </c>
      <c r="D8" s="40">
        <f t="shared" si="2"/>
        <v>44870</v>
      </c>
      <c r="E8" s="40">
        <f t="shared" si="3"/>
        <v>44886</v>
      </c>
      <c r="F8" s="54">
        <f t="shared" si="4"/>
        <v>17</v>
      </c>
      <c r="G8" s="41">
        <f t="shared" si="5"/>
        <v>326.76470588235293</v>
      </c>
      <c r="H8" s="54">
        <f t="shared" si="0"/>
        <v>4</v>
      </c>
      <c r="I8" s="24">
        <f t="shared" si="1"/>
        <v>12</v>
      </c>
      <c r="M8" s="1" t="s">
        <v>105</v>
      </c>
    </row>
    <row r="9" spans="1:13" x14ac:dyDescent="0.35">
      <c r="A9" s="1" t="s">
        <v>64</v>
      </c>
      <c r="B9" s="23" t="s">
        <v>124</v>
      </c>
      <c r="C9" s="33">
        <v>999</v>
      </c>
      <c r="D9" s="40">
        <f t="shared" si="2"/>
        <v>44714</v>
      </c>
      <c r="E9" s="40">
        <f t="shared" si="3"/>
        <v>44722</v>
      </c>
      <c r="F9" s="54">
        <f t="shared" si="4"/>
        <v>9</v>
      </c>
      <c r="G9" s="41">
        <f t="shared" si="5"/>
        <v>111</v>
      </c>
      <c r="H9" s="54">
        <f t="shared" si="0"/>
        <v>15</v>
      </c>
      <c r="I9" s="24">
        <f t="shared" si="1"/>
        <v>1</v>
      </c>
    </row>
    <row r="10" spans="1:13" x14ac:dyDescent="0.35">
      <c r="A10" s="1" t="s">
        <v>65</v>
      </c>
      <c r="B10" s="23" t="s">
        <v>125</v>
      </c>
      <c r="C10" s="33">
        <v>899</v>
      </c>
      <c r="D10" s="40">
        <f t="shared" si="2"/>
        <v>44106</v>
      </c>
      <c r="E10" s="40">
        <f t="shared" si="3"/>
        <v>44113</v>
      </c>
      <c r="F10" s="54">
        <f t="shared" si="4"/>
        <v>8</v>
      </c>
      <c r="G10" s="41">
        <f t="shared" si="5"/>
        <v>112.375</v>
      </c>
      <c r="H10" s="54">
        <f t="shared" si="0"/>
        <v>14</v>
      </c>
      <c r="I10" s="24">
        <f t="shared" si="1"/>
        <v>2</v>
      </c>
    </row>
    <row r="11" spans="1:13" x14ac:dyDescent="0.35">
      <c r="A11" s="1" t="s">
        <v>4</v>
      </c>
      <c r="B11" s="23" t="s">
        <v>127</v>
      </c>
      <c r="C11" s="33">
        <v>4099</v>
      </c>
      <c r="D11" s="40">
        <f t="shared" si="2"/>
        <v>44151</v>
      </c>
      <c r="E11" s="40">
        <f t="shared" si="3"/>
        <v>44164</v>
      </c>
      <c r="F11" s="54">
        <f t="shared" si="4"/>
        <v>14</v>
      </c>
      <c r="G11" s="41">
        <f t="shared" si="5"/>
        <v>292.78571428571428</v>
      </c>
      <c r="H11" s="54">
        <f t="shared" si="0"/>
        <v>6</v>
      </c>
      <c r="I11" s="24">
        <f t="shared" si="1"/>
        <v>10</v>
      </c>
    </row>
    <row r="12" spans="1:13" x14ac:dyDescent="0.35">
      <c r="A12" s="1" t="s">
        <v>66</v>
      </c>
      <c r="B12" s="23" t="s">
        <v>126</v>
      </c>
      <c r="C12" s="33">
        <v>3299</v>
      </c>
      <c r="D12" s="40">
        <f t="shared" si="2"/>
        <v>44167</v>
      </c>
      <c r="E12" s="40">
        <f t="shared" si="3"/>
        <v>44180</v>
      </c>
      <c r="F12" s="54">
        <f t="shared" si="4"/>
        <v>14</v>
      </c>
      <c r="G12" s="41">
        <f t="shared" si="5"/>
        <v>235.64285714285714</v>
      </c>
      <c r="H12" s="54">
        <f t="shared" si="0"/>
        <v>8</v>
      </c>
      <c r="I12" s="24">
        <f t="shared" si="1"/>
        <v>8</v>
      </c>
    </row>
    <row r="13" spans="1:13" x14ac:dyDescent="0.35">
      <c r="A13" s="1" t="s">
        <v>5</v>
      </c>
      <c r="B13" s="23" t="s">
        <v>128</v>
      </c>
      <c r="C13" s="33">
        <v>1299</v>
      </c>
      <c r="D13" s="40">
        <f t="shared" si="2"/>
        <v>44128</v>
      </c>
      <c r="E13" s="40">
        <f t="shared" si="3"/>
        <v>44135</v>
      </c>
      <c r="F13" s="54">
        <f t="shared" si="4"/>
        <v>8</v>
      </c>
      <c r="G13" s="41">
        <f t="shared" si="5"/>
        <v>162.375</v>
      </c>
      <c r="H13" s="54">
        <f t="shared" si="0"/>
        <v>12</v>
      </c>
      <c r="I13" s="24">
        <f t="shared" si="1"/>
        <v>4</v>
      </c>
    </row>
    <row r="14" spans="1:13" x14ac:dyDescent="0.35">
      <c r="A14" s="1" t="s">
        <v>67</v>
      </c>
      <c r="B14" s="23" t="s">
        <v>128</v>
      </c>
      <c r="C14" s="33">
        <v>1099</v>
      </c>
      <c r="D14" s="40">
        <f t="shared" si="2"/>
        <v>44128</v>
      </c>
      <c r="E14" s="40">
        <f t="shared" si="3"/>
        <v>44135</v>
      </c>
      <c r="F14" s="54">
        <f t="shared" si="4"/>
        <v>8</v>
      </c>
      <c r="G14" s="41">
        <f t="shared" si="5"/>
        <v>137.375</v>
      </c>
      <c r="H14" s="54">
        <f t="shared" si="0"/>
        <v>13</v>
      </c>
      <c r="I14" s="24">
        <f t="shared" si="1"/>
        <v>3</v>
      </c>
    </row>
    <row r="15" spans="1:13" x14ac:dyDescent="0.35">
      <c r="A15" s="1" t="s">
        <v>68</v>
      </c>
      <c r="B15" s="23" t="s">
        <v>129</v>
      </c>
      <c r="C15" s="33">
        <v>3999</v>
      </c>
      <c r="D15" s="40">
        <f t="shared" si="2"/>
        <v>44878</v>
      </c>
      <c r="E15" s="40">
        <f t="shared" si="3"/>
        <v>44890</v>
      </c>
      <c r="F15" s="54">
        <f t="shared" si="4"/>
        <v>13</v>
      </c>
      <c r="G15" s="41">
        <f t="shared" si="5"/>
        <v>307.61538461538464</v>
      </c>
      <c r="H15" s="54">
        <f t="shared" si="0"/>
        <v>5</v>
      </c>
      <c r="I15" s="24">
        <f t="shared" si="1"/>
        <v>11</v>
      </c>
    </row>
    <row r="16" spans="1:13" x14ac:dyDescent="0.35">
      <c r="A16" s="1" t="s">
        <v>69</v>
      </c>
      <c r="B16" s="23" t="s">
        <v>130</v>
      </c>
      <c r="C16" s="33">
        <v>5689</v>
      </c>
      <c r="D16" s="40">
        <f t="shared" si="2"/>
        <v>44878</v>
      </c>
      <c r="E16" s="40">
        <f t="shared" si="3"/>
        <v>44894</v>
      </c>
      <c r="F16" s="54">
        <f t="shared" si="4"/>
        <v>17</v>
      </c>
      <c r="G16" s="41">
        <f t="shared" si="5"/>
        <v>334.64705882352939</v>
      </c>
      <c r="H16" s="54">
        <f t="shared" si="0"/>
        <v>3</v>
      </c>
      <c r="I16" s="24">
        <f t="shared" si="1"/>
        <v>13</v>
      </c>
    </row>
    <row r="17" spans="1:9" x14ac:dyDescent="0.35">
      <c r="A17" s="1" t="s">
        <v>70</v>
      </c>
      <c r="B17" s="23" t="s">
        <v>131</v>
      </c>
      <c r="C17" s="33">
        <v>2399</v>
      </c>
      <c r="D17" s="40">
        <f t="shared" si="2"/>
        <v>44865</v>
      </c>
      <c r="E17" s="40">
        <f t="shared" si="3"/>
        <v>44875</v>
      </c>
      <c r="F17" s="54">
        <f t="shared" si="4"/>
        <v>11</v>
      </c>
      <c r="G17" s="41">
        <f t="shared" si="5"/>
        <v>218.09090909090909</v>
      </c>
      <c r="H17" s="54">
        <f t="shared" si="0"/>
        <v>9</v>
      </c>
      <c r="I17" s="24">
        <f t="shared" si="1"/>
        <v>6</v>
      </c>
    </row>
    <row r="18" spans="1:9" x14ac:dyDescent="0.35">
      <c r="A18" s="1" t="s">
        <v>71</v>
      </c>
      <c r="B18" s="23" t="s">
        <v>132</v>
      </c>
      <c r="C18" s="33">
        <v>2399</v>
      </c>
      <c r="D18" s="40">
        <f t="shared" si="2"/>
        <v>44877</v>
      </c>
      <c r="E18" s="40">
        <f t="shared" si="3"/>
        <v>44887</v>
      </c>
      <c r="F18" s="54">
        <f t="shared" si="4"/>
        <v>11</v>
      </c>
      <c r="G18" s="41">
        <f t="shared" si="5"/>
        <v>218.09090909090909</v>
      </c>
      <c r="H18" s="54">
        <f t="shared" si="0"/>
        <v>9</v>
      </c>
      <c r="I18" s="24">
        <f t="shared" si="1"/>
        <v>6</v>
      </c>
    </row>
    <row r="19" spans="1:9" x14ac:dyDescent="0.35">
      <c r="A19" s="1" t="s">
        <v>72</v>
      </c>
      <c r="B19" s="23" t="s">
        <v>133</v>
      </c>
      <c r="C19" s="33">
        <v>999</v>
      </c>
      <c r="D19" s="40">
        <f t="shared" si="2"/>
        <v>44744</v>
      </c>
      <c r="E19" s="40">
        <f t="shared" si="3"/>
        <v>44748</v>
      </c>
      <c r="F19" s="54">
        <f t="shared" si="4"/>
        <v>5</v>
      </c>
      <c r="G19" s="41">
        <f t="shared" si="5"/>
        <v>199.8</v>
      </c>
      <c r="H19" s="54">
        <f t="shared" si="0"/>
        <v>11</v>
      </c>
      <c r="I19" s="24">
        <f t="shared" si="1"/>
        <v>5</v>
      </c>
    </row>
    <row r="20" spans="1:9" x14ac:dyDescent="0.35">
      <c r="A20" s="1" t="s">
        <v>73</v>
      </c>
      <c r="B20" s="23" t="s">
        <v>134</v>
      </c>
      <c r="C20" s="33">
        <v>2849</v>
      </c>
      <c r="D20" s="40">
        <f t="shared" si="2"/>
        <v>44740</v>
      </c>
      <c r="E20" s="40">
        <f t="shared" si="3"/>
        <v>44747</v>
      </c>
      <c r="F20" s="54">
        <f t="shared" si="4"/>
        <v>8</v>
      </c>
      <c r="G20" s="41">
        <f t="shared" si="5"/>
        <v>356.125</v>
      </c>
      <c r="H20" s="54">
        <f t="shared" si="0"/>
        <v>2</v>
      </c>
      <c r="I20" s="24">
        <f t="shared" si="1"/>
        <v>14</v>
      </c>
    </row>
    <row r="21" spans="1:9" x14ac:dyDescent="0.35">
      <c r="C21" s="15"/>
      <c r="D21" s="14"/>
    </row>
    <row r="22" spans="1:9" x14ac:dyDescent="0.35">
      <c r="D22" s="14">
        <v>44744</v>
      </c>
      <c r="E22" s="14">
        <v>44753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29"/>
  <sheetViews>
    <sheetView workbookViewId="0">
      <selection activeCell="J4" sqref="J4"/>
    </sheetView>
  </sheetViews>
  <sheetFormatPr defaultColWidth="9.109375" defaultRowHeight="18" x14ac:dyDescent="0.35"/>
  <cols>
    <col min="1" max="1" width="14.33203125" style="1" bestFit="1" customWidth="1"/>
    <col min="2" max="2" width="25.88671875" style="1" bestFit="1" customWidth="1"/>
    <col min="3" max="3" width="10.6640625" style="1" bestFit="1" customWidth="1"/>
    <col min="4" max="4" width="11.44140625" style="1" customWidth="1"/>
    <col min="5" max="5" width="18" style="1" customWidth="1"/>
    <col min="6" max="6" width="16.44140625" style="1" customWidth="1"/>
    <col min="7" max="7" width="19" style="1" customWidth="1"/>
    <col min="8" max="8" width="7.5546875" style="1" customWidth="1"/>
    <col min="9" max="9" width="22.88671875" style="1" bestFit="1" customWidth="1"/>
    <col min="10" max="10" width="13.5546875" style="1" customWidth="1"/>
    <col min="11" max="16384" width="9.109375" style="1"/>
  </cols>
  <sheetData>
    <row r="3" spans="1:10" ht="38.25" customHeight="1" x14ac:dyDescent="0.35">
      <c r="A3" s="18" t="s">
        <v>2</v>
      </c>
      <c r="B3" s="18" t="s">
        <v>23</v>
      </c>
      <c r="C3" s="18" t="s">
        <v>113</v>
      </c>
      <c r="D3" s="18" t="s">
        <v>114</v>
      </c>
      <c r="E3" s="49" t="s">
        <v>112</v>
      </c>
      <c r="F3" s="49" t="s">
        <v>112</v>
      </c>
      <c r="H3" s="18" t="s">
        <v>33</v>
      </c>
      <c r="I3" s="18" t="s">
        <v>116</v>
      </c>
      <c r="J3" s="49" t="s">
        <v>117</v>
      </c>
    </row>
    <row r="4" spans="1:10" x14ac:dyDescent="0.35">
      <c r="A4" s="2">
        <v>44562</v>
      </c>
      <c r="B4" s="3" t="s">
        <v>11</v>
      </c>
      <c r="C4" s="24" t="str">
        <f>TEXT(A4,"m")</f>
        <v>1</v>
      </c>
      <c r="D4" s="24">
        <f>WEEKDAY(A4,2)</f>
        <v>6</v>
      </c>
      <c r="E4" s="47">
        <v>44562</v>
      </c>
      <c r="F4" s="24" t="str">
        <f>INDEX(päev,MATCH(D4,Abi!$B$4:$B$10,1))</f>
        <v>Laupäev</v>
      </c>
      <c r="H4" s="25">
        <v>1</v>
      </c>
      <c r="I4" s="24" t="s">
        <v>92</v>
      </c>
      <c r="J4" s="24">
        <f t="shared" ref="J4:J15" si="0">COUNTIFS(Kuu_nr,H4)</f>
        <v>1</v>
      </c>
    </row>
    <row r="5" spans="1:10" x14ac:dyDescent="0.35">
      <c r="A5" s="2">
        <v>44616</v>
      </c>
      <c r="B5" s="3" t="s">
        <v>12</v>
      </c>
      <c r="C5" s="24" t="str">
        <f t="shared" ref="C5:C15" si="1">TEXT(A5,"m")</f>
        <v>2</v>
      </c>
      <c r="D5" s="24">
        <f t="shared" ref="D5:D15" si="2">WEEKDAY(A5,2)</f>
        <v>4</v>
      </c>
      <c r="E5" s="47">
        <v>44616</v>
      </c>
      <c r="F5" s="24" t="str">
        <f>INDEX(päev,MATCH(D5,Abi!$B$4:$B$10,1))</f>
        <v>Neljapäev</v>
      </c>
      <c r="H5" s="25">
        <v>2</v>
      </c>
      <c r="I5" s="24" t="s">
        <v>93</v>
      </c>
      <c r="J5" s="24">
        <f t="shared" si="0"/>
        <v>1</v>
      </c>
    </row>
    <row r="6" spans="1:10" x14ac:dyDescent="0.35">
      <c r="A6" s="14">
        <v>44666</v>
      </c>
      <c r="B6" s="3" t="s">
        <v>13</v>
      </c>
      <c r="C6" s="24" t="str">
        <f t="shared" si="1"/>
        <v>4</v>
      </c>
      <c r="D6" s="24">
        <f t="shared" si="2"/>
        <v>5</v>
      </c>
      <c r="E6" s="48">
        <v>44666</v>
      </c>
      <c r="F6" s="24" t="str">
        <f>INDEX(päev,MATCH(D6,Abi!$B$4:$B$10,1))</f>
        <v>Reede</v>
      </c>
      <c r="H6" s="25">
        <v>3</v>
      </c>
      <c r="I6" s="24" t="s">
        <v>94</v>
      </c>
      <c r="J6" s="24">
        <f t="shared" si="0"/>
        <v>0</v>
      </c>
    </row>
    <row r="7" spans="1:10" x14ac:dyDescent="0.35">
      <c r="A7" s="2">
        <v>44668</v>
      </c>
      <c r="B7" s="3" t="s">
        <v>14</v>
      </c>
      <c r="C7" s="24" t="str">
        <f t="shared" si="1"/>
        <v>4</v>
      </c>
      <c r="D7" s="24">
        <f t="shared" si="2"/>
        <v>7</v>
      </c>
      <c r="E7" s="47">
        <v>44668</v>
      </c>
      <c r="F7" s="24" t="str">
        <f>INDEX(päev,MATCH(D7,Abi!$B$4:$B$10,1))</f>
        <v>Pühapäev</v>
      </c>
      <c r="H7" s="25">
        <v>4</v>
      </c>
      <c r="I7" s="24" t="s">
        <v>95</v>
      </c>
      <c r="J7" s="24">
        <f t="shared" si="0"/>
        <v>2</v>
      </c>
    </row>
    <row r="8" spans="1:10" x14ac:dyDescent="0.35">
      <c r="A8" s="2">
        <v>44682</v>
      </c>
      <c r="B8" s="3" t="s">
        <v>15</v>
      </c>
      <c r="C8" s="24" t="str">
        <f t="shared" si="1"/>
        <v>5</v>
      </c>
      <c r="D8" s="24">
        <f t="shared" si="2"/>
        <v>7</v>
      </c>
      <c r="E8" s="47">
        <v>44682</v>
      </c>
      <c r="F8" s="24" t="str">
        <f>INDEX(päev,MATCH(D8,Abi!$B$4:$B$10,1))</f>
        <v>Pühapäev</v>
      </c>
      <c r="H8" s="25">
        <v>5</v>
      </c>
      <c r="I8" s="24" t="s">
        <v>96</v>
      </c>
      <c r="J8" s="24">
        <f t="shared" si="0"/>
        <v>1</v>
      </c>
    </row>
    <row r="9" spans="1:10" x14ac:dyDescent="0.35">
      <c r="A9" s="2">
        <v>44717</v>
      </c>
      <c r="B9" s="3" t="s">
        <v>16</v>
      </c>
      <c r="C9" s="24" t="str">
        <f t="shared" si="1"/>
        <v>6</v>
      </c>
      <c r="D9" s="24">
        <f t="shared" si="2"/>
        <v>7</v>
      </c>
      <c r="E9" s="47">
        <v>44717</v>
      </c>
      <c r="F9" s="24" t="str">
        <f>INDEX(päev,MATCH(D9,Abi!$B$4:$B$10,1))</f>
        <v>Pühapäev</v>
      </c>
      <c r="H9" s="25">
        <v>6</v>
      </c>
      <c r="I9" s="24" t="s">
        <v>97</v>
      </c>
      <c r="J9" s="24">
        <f t="shared" si="0"/>
        <v>3</v>
      </c>
    </row>
    <row r="10" spans="1:10" x14ac:dyDescent="0.35">
      <c r="A10" s="2">
        <v>44735</v>
      </c>
      <c r="B10" s="3" t="s">
        <v>17</v>
      </c>
      <c r="C10" s="24" t="str">
        <f t="shared" si="1"/>
        <v>6</v>
      </c>
      <c r="D10" s="24">
        <f t="shared" si="2"/>
        <v>4</v>
      </c>
      <c r="E10" s="47">
        <v>44735</v>
      </c>
      <c r="F10" s="24" t="str">
        <f>INDEX(päev,MATCH(D10,Abi!$B$4:$B$10,1))</f>
        <v>Neljapäev</v>
      </c>
      <c r="H10" s="25">
        <v>7</v>
      </c>
      <c r="I10" s="24" t="s">
        <v>98</v>
      </c>
      <c r="J10" s="24">
        <f t="shared" si="0"/>
        <v>0</v>
      </c>
    </row>
    <row r="11" spans="1:10" x14ac:dyDescent="0.35">
      <c r="A11" s="2">
        <v>44736</v>
      </c>
      <c r="B11" s="3" t="s">
        <v>18</v>
      </c>
      <c r="C11" s="24" t="str">
        <f t="shared" si="1"/>
        <v>6</v>
      </c>
      <c r="D11" s="24">
        <f t="shared" si="2"/>
        <v>5</v>
      </c>
      <c r="E11" s="47">
        <v>44736</v>
      </c>
      <c r="F11" s="24" t="str">
        <f>INDEX(päev,MATCH(D11,Abi!$B$4:$B$10,1))</f>
        <v>Reede</v>
      </c>
      <c r="H11" s="25">
        <v>8</v>
      </c>
      <c r="I11" s="24" t="s">
        <v>99</v>
      </c>
      <c r="J11" s="24">
        <f t="shared" si="0"/>
        <v>1</v>
      </c>
    </row>
    <row r="12" spans="1:10" x14ac:dyDescent="0.35">
      <c r="A12" s="2">
        <v>44793</v>
      </c>
      <c r="B12" s="3" t="s">
        <v>19</v>
      </c>
      <c r="C12" s="24" t="str">
        <f t="shared" si="1"/>
        <v>8</v>
      </c>
      <c r="D12" s="24">
        <f t="shared" si="2"/>
        <v>6</v>
      </c>
      <c r="E12" s="47">
        <v>44793</v>
      </c>
      <c r="F12" s="24" t="str">
        <f>INDEX(päev,MATCH(D12,Abi!$B$4:$B$10,1))</f>
        <v>Laupäev</v>
      </c>
      <c r="H12" s="25">
        <v>9</v>
      </c>
      <c r="I12" s="24" t="s">
        <v>100</v>
      </c>
      <c r="J12" s="24">
        <f t="shared" si="0"/>
        <v>0</v>
      </c>
    </row>
    <row r="13" spans="1:10" x14ac:dyDescent="0.35">
      <c r="A13" s="2">
        <v>44919</v>
      </c>
      <c r="B13" s="3" t="s">
        <v>20</v>
      </c>
      <c r="C13" s="24" t="str">
        <f t="shared" si="1"/>
        <v>12</v>
      </c>
      <c r="D13" s="24">
        <f t="shared" si="2"/>
        <v>6</v>
      </c>
      <c r="E13" s="47">
        <v>44919</v>
      </c>
      <c r="F13" s="24" t="str">
        <f>INDEX(päev,MATCH(D13,Abi!$B$4:$B$10,1))</f>
        <v>Laupäev</v>
      </c>
      <c r="H13" s="25">
        <v>10</v>
      </c>
      <c r="I13" s="24" t="s">
        <v>101</v>
      </c>
      <c r="J13" s="24">
        <f t="shared" si="0"/>
        <v>0</v>
      </c>
    </row>
    <row r="14" spans="1:10" x14ac:dyDescent="0.35">
      <c r="A14" s="2">
        <v>44920</v>
      </c>
      <c r="B14" s="3" t="s">
        <v>21</v>
      </c>
      <c r="C14" s="24" t="str">
        <f t="shared" si="1"/>
        <v>12</v>
      </c>
      <c r="D14" s="24">
        <f t="shared" si="2"/>
        <v>7</v>
      </c>
      <c r="E14" s="47">
        <v>44920</v>
      </c>
      <c r="F14" s="24" t="str">
        <f>INDEX(päev,MATCH(D14,Abi!$B$4:$B$10,1))</f>
        <v>Pühapäev</v>
      </c>
      <c r="H14" s="25">
        <v>11</v>
      </c>
      <c r="I14" s="24" t="s">
        <v>102</v>
      </c>
      <c r="J14" s="24">
        <f t="shared" si="0"/>
        <v>0</v>
      </c>
    </row>
    <row r="15" spans="1:10" x14ac:dyDescent="0.35">
      <c r="A15" s="2">
        <v>44921</v>
      </c>
      <c r="B15" s="3" t="s">
        <v>22</v>
      </c>
      <c r="C15" s="24" t="str">
        <f t="shared" si="1"/>
        <v>12</v>
      </c>
      <c r="D15" s="24">
        <f t="shared" si="2"/>
        <v>1</v>
      </c>
      <c r="E15" s="47">
        <v>44921</v>
      </c>
      <c r="F15" s="24" t="str">
        <f>INDEX(päev,MATCH(D15,Abi!$B$4:$B$10,1))</f>
        <v>Esmaspäev</v>
      </c>
      <c r="H15" s="25">
        <v>12</v>
      </c>
      <c r="I15" s="24" t="s">
        <v>103</v>
      </c>
      <c r="J15" s="24">
        <f t="shared" si="0"/>
        <v>3</v>
      </c>
    </row>
    <row r="16" spans="1:10" x14ac:dyDescent="0.35">
      <c r="H16" s="25"/>
      <c r="I16" s="25" t="s">
        <v>35</v>
      </c>
      <c r="J16" s="24">
        <f>SUM(Mitu_tööpäeval)</f>
        <v>12</v>
      </c>
    </row>
    <row r="17" spans="1:10" x14ac:dyDescent="0.35">
      <c r="H17" s="25"/>
      <c r="I17" s="25" t="s">
        <v>36</v>
      </c>
      <c r="J17" s="24">
        <f>COUNTIF(Np_nr,"&lt;6")</f>
        <v>5</v>
      </c>
    </row>
    <row r="18" spans="1:10" x14ac:dyDescent="0.35">
      <c r="A18" s="2"/>
      <c r="B18" s="3"/>
    </row>
    <row r="19" spans="1:10" x14ac:dyDescent="0.35">
      <c r="A19" s="2"/>
      <c r="B19" s="3"/>
    </row>
    <row r="20" spans="1:10" x14ac:dyDescent="0.35">
      <c r="A20" s="14"/>
      <c r="B20" s="3"/>
    </row>
    <row r="21" spans="1:10" x14ac:dyDescent="0.35">
      <c r="A21" s="2"/>
      <c r="B21" s="3"/>
    </row>
    <row r="22" spans="1:10" x14ac:dyDescent="0.35">
      <c r="A22" s="2"/>
      <c r="B22" s="3"/>
    </row>
    <row r="23" spans="1:10" x14ac:dyDescent="0.35">
      <c r="A23" s="2"/>
      <c r="B23" s="3"/>
    </row>
    <row r="24" spans="1:10" x14ac:dyDescent="0.35">
      <c r="A24" s="2"/>
      <c r="B24" s="3"/>
    </row>
    <row r="25" spans="1:10" x14ac:dyDescent="0.35">
      <c r="A25" s="2"/>
      <c r="B25" s="3"/>
    </row>
    <row r="26" spans="1:10" x14ac:dyDescent="0.35">
      <c r="A26" s="2"/>
      <c r="B26" s="3"/>
    </row>
    <row r="27" spans="1:10" x14ac:dyDescent="0.35">
      <c r="A27" s="2"/>
      <c r="B27" s="3"/>
    </row>
    <row r="28" spans="1:10" x14ac:dyDescent="0.35">
      <c r="A28" s="2"/>
      <c r="B28" s="3"/>
    </row>
    <row r="29" spans="1:10" x14ac:dyDescent="0.35">
      <c r="A29" s="2"/>
      <c r="B29" s="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3"/>
  <sheetViews>
    <sheetView workbookViewId="0">
      <selection activeCell="E5" sqref="E5"/>
    </sheetView>
  </sheetViews>
  <sheetFormatPr defaultColWidth="9.109375" defaultRowHeight="15.6" x14ac:dyDescent="0.3"/>
  <cols>
    <col min="1" max="1" width="3.6640625" style="4" customWidth="1"/>
    <col min="2" max="2" width="13.109375" style="4" customWidth="1"/>
    <col min="3" max="3" width="9.33203125" style="4" bestFit="1" customWidth="1"/>
    <col min="4" max="4" width="8.33203125" style="4" customWidth="1"/>
    <col min="5" max="5" width="16.5546875" style="4" customWidth="1"/>
    <col min="6" max="6" width="15.33203125" style="4" bestFit="1" customWidth="1"/>
    <col min="7" max="7" width="2.88671875" style="4" customWidth="1"/>
    <col min="8" max="8" width="9.44140625" style="4" bestFit="1" customWidth="1"/>
    <col min="9" max="16384" width="9.109375" style="4"/>
  </cols>
  <sheetData>
    <row r="2" spans="2:9" x14ac:dyDescent="0.3">
      <c r="B2" s="4" t="s">
        <v>41</v>
      </c>
      <c r="C2" s="42">
        <v>12</v>
      </c>
      <c r="H2" s="6" t="s">
        <v>42</v>
      </c>
    </row>
    <row r="3" spans="2:9" x14ac:dyDescent="0.3">
      <c r="C3" s="17"/>
    </row>
    <row r="4" spans="2:9" x14ac:dyDescent="0.3">
      <c r="B4" s="7" t="s">
        <v>24</v>
      </c>
      <c r="C4" s="7" t="s">
        <v>37</v>
      </c>
      <c r="D4" s="7" t="s">
        <v>38</v>
      </c>
      <c r="E4" s="7" t="s">
        <v>43</v>
      </c>
      <c r="F4" s="8" t="s">
        <v>44</v>
      </c>
    </row>
    <row r="5" spans="2:9" x14ac:dyDescent="0.3">
      <c r="B5" s="9" t="s">
        <v>26</v>
      </c>
      <c r="C5" s="10">
        <v>0.33333333333333331</v>
      </c>
      <c r="D5" s="10">
        <v>0.6875</v>
      </c>
      <c r="E5" s="11">
        <f>IF(D5&gt;C5,D5-C5,1+D5-C5)</f>
        <v>0.35416666666666669</v>
      </c>
      <c r="F5" s="12">
        <f>8.5*Tunnitasu</f>
        <v>102</v>
      </c>
    </row>
    <row r="6" spans="2:9" x14ac:dyDescent="0.3">
      <c r="B6" s="9" t="s">
        <v>27</v>
      </c>
      <c r="C6" s="10">
        <v>0.75</v>
      </c>
      <c r="D6" s="10">
        <v>2.0833333333333332E-2</v>
      </c>
      <c r="E6" s="11">
        <f t="shared" ref="E6:E9" si="0">IF(D6&gt;C6,D6-C6,1+D6-C6)</f>
        <v>0.27083333333333326</v>
      </c>
      <c r="F6" s="12">
        <f>6.5*Tunnitasu</f>
        <v>78</v>
      </c>
    </row>
    <row r="7" spans="2:9" x14ac:dyDescent="0.3">
      <c r="B7" s="9" t="s">
        <v>28</v>
      </c>
      <c r="C7" s="10">
        <v>0.5</v>
      </c>
      <c r="D7" s="10">
        <v>0.83333333333333337</v>
      </c>
      <c r="E7" s="11">
        <f t="shared" si="0"/>
        <v>0.33333333333333337</v>
      </c>
      <c r="F7" s="12">
        <f>8*Tunnitasu</f>
        <v>96</v>
      </c>
    </row>
    <row r="8" spans="2:9" x14ac:dyDescent="0.3">
      <c r="B8" s="9" t="s">
        <v>29</v>
      </c>
      <c r="C8" s="10">
        <v>0.5625</v>
      </c>
      <c r="D8" s="10">
        <v>0.82291666666666663</v>
      </c>
      <c r="E8" s="11">
        <f t="shared" si="0"/>
        <v>0.26041666666666663</v>
      </c>
      <c r="F8" s="12">
        <f>6.15*Tunnitasu</f>
        <v>73.800000000000011</v>
      </c>
    </row>
    <row r="9" spans="2:9" x14ac:dyDescent="0.3">
      <c r="B9" s="9" t="s">
        <v>30</v>
      </c>
      <c r="C9" s="10">
        <v>0.58333333333333337</v>
      </c>
      <c r="D9" s="10">
        <v>7.2916666666666671E-2</v>
      </c>
      <c r="E9" s="11">
        <f t="shared" si="0"/>
        <v>0.48958333333333337</v>
      </c>
      <c r="F9" s="12">
        <f>11.45*Tunnitasu</f>
        <v>137.39999999999998</v>
      </c>
      <c r="G9" s="5"/>
      <c r="H9" s="5"/>
      <c r="I9" s="13"/>
    </row>
    <row r="10" spans="2:9" x14ac:dyDescent="0.3">
      <c r="H10" s="5"/>
    </row>
    <row r="11" spans="2:9" x14ac:dyDescent="0.3">
      <c r="B11" s="4" t="s">
        <v>39</v>
      </c>
      <c r="E11" s="55">
        <f>SUM(Tunde)</f>
        <v>1.7083333333333335</v>
      </c>
      <c r="F11" s="12">
        <f>SUM(Palk)</f>
        <v>487.2</v>
      </c>
      <c r="H11" s="5"/>
    </row>
    <row r="12" spans="2:9" x14ac:dyDescent="0.3">
      <c r="F12" s="4" t="s">
        <v>40</v>
      </c>
      <c r="H12" s="5"/>
    </row>
    <row r="13" spans="2:9" x14ac:dyDescent="0.3">
      <c r="H13" s="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tabSelected="1" zoomScale="70" zoomScaleNormal="70" workbookViewId="0">
      <selection activeCell="C4" sqref="C4"/>
    </sheetView>
  </sheetViews>
  <sheetFormatPr defaultRowHeight="14.4" x14ac:dyDescent="0.3"/>
  <cols>
    <col min="1" max="1" width="7.6640625" customWidth="1"/>
    <col min="2" max="2" width="53.44140625" customWidth="1"/>
    <col min="3" max="3" width="15.33203125" customWidth="1"/>
  </cols>
  <sheetData>
    <row r="1" spans="1:10" ht="15.6" x14ac:dyDescent="0.3">
      <c r="A1" s="6" t="s">
        <v>45</v>
      </c>
      <c r="B1" s="4"/>
      <c r="D1" s="4"/>
      <c r="E1" s="4"/>
      <c r="F1" s="4"/>
      <c r="G1" s="4"/>
      <c r="H1" s="4"/>
      <c r="I1" s="4"/>
      <c r="J1" s="4"/>
    </row>
    <row r="2" spans="1:10" ht="15.6" x14ac:dyDescent="0.3">
      <c r="A2" s="6"/>
      <c r="B2" s="4"/>
      <c r="D2" s="4"/>
      <c r="E2" s="52"/>
      <c r="F2" s="53"/>
      <c r="G2" s="4"/>
      <c r="H2" s="4"/>
      <c r="I2" s="4"/>
      <c r="J2" s="4"/>
    </row>
    <row r="3" spans="1:10" ht="15.6" x14ac:dyDescent="0.3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ht="18" x14ac:dyDescent="0.35">
      <c r="A4" s="6"/>
      <c r="B4" s="21" t="s">
        <v>47</v>
      </c>
      <c r="C4" s="56">
        <f>MAX(C9:C27)</f>
        <v>7.1666666666666661</v>
      </c>
      <c r="D4" s="1" t="s">
        <v>48</v>
      </c>
      <c r="E4" s="4"/>
      <c r="F4" s="4"/>
      <c r="G4" s="4"/>
      <c r="H4" s="4"/>
      <c r="I4" s="4"/>
      <c r="J4" s="4"/>
    </row>
    <row r="5" spans="1:10" ht="18" x14ac:dyDescent="0.35">
      <c r="A5" s="6"/>
      <c r="B5" s="21" t="s">
        <v>115</v>
      </c>
      <c r="C5" s="51" t="str">
        <f>"Päeva pikim saade kestab " &amp; ROUND(C4*60,2) &amp; " minutit"</f>
        <v>Päeva pikim saade kestab 430 minutit</v>
      </c>
      <c r="E5" s="4"/>
      <c r="F5" s="4"/>
      <c r="G5" s="4"/>
      <c r="H5" s="4"/>
      <c r="I5" s="4"/>
      <c r="J5" s="4"/>
    </row>
    <row r="6" spans="1:10" ht="15.6" x14ac:dyDescent="0.3">
      <c r="A6" s="6"/>
      <c r="B6" s="21"/>
      <c r="C6" s="50"/>
      <c r="E6" s="4"/>
      <c r="F6" s="4"/>
      <c r="G6" s="4"/>
      <c r="H6" s="4"/>
      <c r="I6" s="4"/>
      <c r="J6" s="4"/>
    </row>
    <row r="7" spans="1:10" ht="15.6" x14ac:dyDescent="0.3">
      <c r="A7" s="6"/>
      <c r="B7" s="4"/>
      <c r="F7" s="4"/>
      <c r="G7" s="4"/>
      <c r="H7" s="4"/>
      <c r="I7" s="4"/>
      <c r="J7" s="4"/>
    </row>
    <row r="8" spans="1:10" ht="15.6" x14ac:dyDescent="0.3">
      <c r="A8" s="20" t="s">
        <v>7</v>
      </c>
      <c r="B8" s="20" t="s">
        <v>46</v>
      </c>
      <c r="C8" s="20" t="s">
        <v>91</v>
      </c>
    </row>
    <row r="9" spans="1:10" ht="18" x14ac:dyDescent="0.35">
      <c r="A9" s="27">
        <v>0</v>
      </c>
      <c r="B9" s="28" t="s">
        <v>49</v>
      </c>
      <c r="C9" s="43">
        <f>IF(A10&gt;A9,A10-A9,1-A9-A10)*24</f>
        <v>7.1666666666666661</v>
      </c>
      <c r="D9" s="44"/>
      <c r="E9" s="1" t="s">
        <v>104</v>
      </c>
    </row>
    <row r="10" spans="1:10" x14ac:dyDescent="0.3">
      <c r="A10" s="27">
        <v>0.2986111111111111</v>
      </c>
      <c r="B10" s="28" t="s">
        <v>74</v>
      </c>
      <c r="C10" s="43">
        <f t="shared" ref="C10:C27" si="0">IF(A11&gt;A10,A11-A10,1-A10-A11)*24</f>
        <v>1.583333333333333</v>
      </c>
      <c r="D10" s="44"/>
    </row>
    <row r="11" spans="1:10" x14ac:dyDescent="0.3">
      <c r="A11" s="27">
        <v>0.36458333333333331</v>
      </c>
      <c r="B11" s="28" t="s">
        <v>75</v>
      </c>
      <c r="C11" s="43">
        <f t="shared" si="0"/>
        <v>0.50000000000000089</v>
      </c>
      <c r="D11" s="44"/>
    </row>
    <row r="12" spans="1:10" x14ac:dyDescent="0.3">
      <c r="A12" s="27">
        <v>0.38541666666666669</v>
      </c>
      <c r="B12" s="28" t="s">
        <v>76</v>
      </c>
      <c r="C12" s="43">
        <f t="shared" si="0"/>
        <v>0.83333333333333304</v>
      </c>
      <c r="D12" s="44"/>
    </row>
    <row r="13" spans="1:10" x14ac:dyDescent="0.3">
      <c r="A13" s="27">
        <v>0.4201388888888889</v>
      </c>
      <c r="B13" s="28" t="s">
        <v>77</v>
      </c>
      <c r="C13" s="43">
        <f t="shared" si="0"/>
        <v>1.0000000000000004</v>
      </c>
      <c r="D13" s="44"/>
    </row>
    <row r="14" spans="1:10" x14ac:dyDescent="0.3">
      <c r="A14" s="27">
        <v>0.46180555555555558</v>
      </c>
      <c r="B14" s="29" t="s">
        <v>78</v>
      </c>
      <c r="C14" s="43">
        <f t="shared" si="0"/>
        <v>0.91666666666666607</v>
      </c>
      <c r="D14" s="44"/>
    </row>
    <row r="15" spans="1:10" x14ac:dyDescent="0.3">
      <c r="A15" s="27">
        <v>0.5</v>
      </c>
      <c r="B15" s="28" t="s">
        <v>79</v>
      </c>
      <c r="C15" s="43">
        <f t="shared" si="0"/>
        <v>0.24999999999999911</v>
      </c>
      <c r="D15" s="44"/>
    </row>
    <row r="16" spans="1:10" x14ac:dyDescent="0.3">
      <c r="A16" s="27">
        <v>0.51041666666666663</v>
      </c>
      <c r="B16" s="28" t="s">
        <v>80</v>
      </c>
      <c r="C16" s="43">
        <f t="shared" si="0"/>
        <v>0.8333333333333357</v>
      </c>
      <c r="D16" s="44"/>
    </row>
    <row r="17" spans="1:4" x14ac:dyDescent="0.3">
      <c r="A17" s="27">
        <v>0.54513888888888895</v>
      </c>
      <c r="B17" s="28" t="s">
        <v>81</v>
      </c>
      <c r="C17" s="43">
        <f t="shared" si="0"/>
        <v>1.9166666666666652</v>
      </c>
      <c r="D17" s="44"/>
    </row>
    <row r="18" spans="1:4" x14ac:dyDescent="0.3">
      <c r="A18" s="27">
        <v>0.625</v>
      </c>
      <c r="B18" s="28" t="s">
        <v>82</v>
      </c>
      <c r="C18" s="43">
        <f t="shared" si="0"/>
        <v>0.24999999999999911</v>
      </c>
      <c r="D18" s="44"/>
    </row>
    <row r="19" spans="1:4" x14ac:dyDescent="0.3">
      <c r="A19" s="27">
        <v>0.63541666666666663</v>
      </c>
      <c r="B19" s="28" t="s">
        <v>83</v>
      </c>
      <c r="C19" s="43">
        <f t="shared" si="0"/>
        <v>0.83333333333333304</v>
      </c>
      <c r="D19" s="44"/>
    </row>
    <row r="20" spans="1:4" x14ac:dyDescent="0.3">
      <c r="A20" s="27">
        <v>0.67013888888888884</v>
      </c>
      <c r="B20" s="28" t="s">
        <v>84</v>
      </c>
      <c r="C20" s="43">
        <f t="shared" si="0"/>
        <v>0.41666666666666785</v>
      </c>
      <c r="D20" s="44"/>
    </row>
    <row r="21" spans="1:4" x14ac:dyDescent="0.3">
      <c r="A21" s="27">
        <v>0.6875</v>
      </c>
      <c r="B21" s="28" t="s">
        <v>85</v>
      </c>
      <c r="C21" s="43">
        <f t="shared" si="0"/>
        <v>0.58333333333333126</v>
      </c>
      <c r="D21" s="44"/>
    </row>
    <row r="22" spans="1:4" x14ac:dyDescent="0.3">
      <c r="A22" s="27">
        <v>0.71180555555555547</v>
      </c>
      <c r="B22" s="29" t="s">
        <v>86</v>
      </c>
      <c r="C22" s="43">
        <f t="shared" si="0"/>
        <v>0.91666666666666874</v>
      </c>
      <c r="D22" s="44"/>
    </row>
    <row r="23" spans="1:4" x14ac:dyDescent="0.3">
      <c r="A23" s="27">
        <v>0.75</v>
      </c>
      <c r="B23" s="29" t="s">
        <v>50</v>
      </c>
      <c r="C23" s="43">
        <f t="shared" si="0"/>
        <v>0.33333333333333215</v>
      </c>
      <c r="D23" s="44"/>
    </row>
    <row r="24" spans="1:4" x14ac:dyDescent="0.3">
      <c r="A24" s="27">
        <v>0.76388888888888884</v>
      </c>
      <c r="B24" s="28" t="s">
        <v>51</v>
      </c>
      <c r="C24" s="43">
        <f t="shared" si="0"/>
        <v>0.75</v>
      </c>
      <c r="D24" s="44"/>
    </row>
    <row r="25" spans="1:4" x14ac:dyDescent="0.3">
      <c r="A25" s="27">
        <v>0.79513888888888884</v>
      </c>
      <c r="B25" s="28" t="s">
        <v>87</v>
      </c>
      <c r="C25" s="43">
        <f t="shared" si="0"/>
        <v>1.9166666666666679</v>
      </c>
      <c r="D25" s="44"/>
    </row>
    <row r="26" spans="1:4" x14ac:dyDescent="0.3">
      <c r="A26" s="27">
        <v>0.875</v>
      </c>
      <c r="B26" s="28" t="s">
        <v>88</v>
      </c>
      <c r="C26" s="43">
        <f t="shared" si="0"/>
        <v>1.0833333333333321</v>
      </c>
      <c r="D26" s="44"/>
    </row>
    <row r="27" spans="1:4" ht="15.6" x14ac:dyDescent="0.3">
      <c r="A27" s="34">
        <v>0.92013888888888884</v>
      </c>
      <c r="B27" s="35" t="s">
        <v>89</v>
      </c>
      <c r="C27" s="43">
        <f t="shared" si="0"/>
        <v>1.9166666666666679</v>
      </c>
      <c r="D27" s="44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0"/>
  <sheetViews>
    <sheetView workbookViewId="0">
      <selection activeCell="C4" sqref="C4"/>
    </sheetView>
  </sheetViews>
  <sheetFormatPr defaultRowHeight="14.4" x14ac:dyDescent="0.3"/>
  <cols>
    <col min="1" max="1" width="3.88671875" customWidth="1"/>
    <col min="2" max="2" width="5.33203125" customWidth="1"/>
    <col min="3" max="3" width="10.6640625" bestFit="1" customWidth="1"/>
    <col min="4" max="4" width="10.6640625" customWidth="1"/>
    <col min="5" max="5" width="10.6640625" bestFit="1" customWidth="1"/>
    <col min="6" max="6" width="10.88671875" bestFit="1" customWidth="1"/>
  </cols>
  <sheetData>
    <row r="3" spans="2:3" x14ac:dyDescent="0.3">
      <c r="B3" s="22" t="s">
        <v>34</v>
      </c>
      <c r="C3" s="22" t="s">
        <v>25</v>
      </c>
    </row>
    <row r="4" spans="2:3" x14ac:dyDescent="0.3">
      <c r="B4">
        <v>1</v>
      </c>
      <c r="C4" t="s">
        <v>26</v>
      </c>
    </row>
    <row r="5" spans="2:3" x14ac:dyDescent="0.3">
      <c r="B5">
        <v>2</v>
      </c>
      <c r="C5" t="s">
        <v>27</v>
      </c>
    </row>
    <row r="6" spans="2:3" x14ac:dyDescent="0.3">
      <c r="B6">
        <v>3</v>
      </c>
      <c r="C6" t="s">
        <v>28</v>
      </c>
    </row>
    <row r="7" spans="2:3" x14ac:dyDescent="0.3">
      <c r="B7">
        <v>4</v>
      </c>
      <c r="C7" t="s">
        <v>29</v>
      </c>
    </row>
    <row r="8" spans="2:3" x14ac:dyDescent="0.3">
      <c r="B8">
        <v>5</v>
      </c>
      <c r="C8" t="s">
        <v>30</v>
      </c>
    </row>
    <row r="9" spans="2:3" x14ac:dyDescent="0.3">
      <c r="B9">
        <v>6</v>
      </c>
      <c r="C9" t="s">
        <v>31</v>
      </c>
    </row>
    <row r="10" spans="2:3" x14ac:dyDescent="0.3">
      <c r="B10">
        <v>7</v>
      </c>
      <c r="C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Sünniaeg</vt:lpstr>
      <vt:lpstr>Reisid</vt:lpstr>
      <vt:lpstr>Riigipühad</vt:lpstr>
      <vt:lpstr>Tasu</vt:lpstr>
      <vt:lpstr>Saatekava</vt:lpstr>
      <vt:lpstr>Abi</vt:lpstr>
      <vt:lpstr>Aeg</vt:lpstr>
      <vt:lpstr>Algus</vt:lpstr>
      <vt:lpstr>Hind</vt:lpstr>
      <vt:lpstr>K_Nr</vt:lpstr>
      <vt:lpstr>Kestus</vt:lpstr>
      <vt:lpstr>Kuu_nr</vt:lpstr>
      <vt:lpstr>Kuud</vt:lpstr>
      <vt:lpstr>Kuupäev</vt:lpstr>
      <vt:lpstr>Lõpp</vt:lpstr>
      <vt:lpstr>Mitu_tööpäeval</vt:lpstr>
      <vt:lpstr>Np_nr</vt:lpstr>
      <vt:lpstr>P_Num</vt:lpstr>
      <vt:lpstr>Palk</vt:lpstr>
      <vt:lpstr>päev</vt:lpstr>
      <vt:lpstr>Päeva_maksumus</vt:lpstr>
      <vt:lpstr>Reisid!Reisid</vt:lpstr>
      <vt:lpstr>Tunde</vt:lpstr>
      <vt:lpstr>Tunnitasu</vt:lpstr>
      <vt:lpstr>Tööle</vt:lpstr>
      <vt:lpstr>Töölt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Amitan</dc:creator>
  <cp:lastModifiedBy>Edgar Muoni</cp:lastModifiedBy>
  <dcterms:created xsi:type="dcterms:W3CDTF">2017-09-07T08:52:21Z</dcterms:created>
  <dcterms:modified xsi:type="dcterms:W3CDTF">2024-01-15T14:02:00Z</dcterms:modified>
</cp:coreProperties>
</file>